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U:\misc\"/>
    </mc:Choice>
  </mc:AlternateContent>
  <xr:revisionPtr revIDLastSave="0" documentId="8_{522CF020-F16C-4016-B121-4C665D145B7D}"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E4" i="8"/>
  <c r="B5" i="5"/>
  <c r="C5" i="5"/>
  <c r="V5" i="5"/>
  <c r="J5" i="5"/>
  <c r="E5" i="5"/>
  <c r="S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F69" i="6"/>
  <c r="C69" i="6"/>
  <c r="G6" i="5"/>
  <c r="R6" i="5"/>
  <c r="F6" i="5"/>
  <c r="I6" i="5"/>
  <c r="H6" i="5"/>
  <c r="E6" i="5"/>
  <c r="X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G5" i="5"/>
  <c r="F5" i="5"/>
  <c r="R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<sst xmlns="http://schemas.openxmlformats.org/spreadsheetml/2006/main" count="22546" uniqueCount="15896">
  <si>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</si>
  <si>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</si>
  <si>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</si>
  <si>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</si>
  <si>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</si>
  <si>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</si>
  <si>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</si>
  <si>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</si>
  <si>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</si>
  <si>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</si>
  <si>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</si>
  <si>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</si>
  <si>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</si>
  <si>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</si>
  <si>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</si>
  <si>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</si>
  <si>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</si>
  <si>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</si>
  <si>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</si>
  <si>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</si>
  <si>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</si>
  <si>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</si>
  <si>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</si>
  <si>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</si>
  <si>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</si>
  <si>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</si>
  <si>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</si>
  <si>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</si>
  <si>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</si>
  <si>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</si>
  <si>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</si>
  <si>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</si>
  <si>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</si>
  <si>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</si>
  <si>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</si>
  <si>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</si>
  <si>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</si>
  <si>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</si>
  <si>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</si>
  <si>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</si>
  <si>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</si>
  <si>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</si>
  <si>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</si>
  <si>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</si>
  <si>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</si>
  <si>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</si>
  <si>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</si>
  <si>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</si>
  <si>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</si>
  <si>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</si>
  <si>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</si>
  <si>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</si>
  <si>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</si>
  <si>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</si>
  <si>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</si>
  <si>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</si>
  <si>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</si>
  <si>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</si>
  <si>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</si>
  <si>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</si>
  <si>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</si>
  <si>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</si>
  <si>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</si>
  <si>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</si>
  <si>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</si>
  <si>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</si>
  <si>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</si>
  <si>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</si>
  <si>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</si>
  <si>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</si>
  <si>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</si>
  <si>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</si>
  <si>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</si>
  <si>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</si>
  <si>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</si>
  <si>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</si>
  <si>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</si>
  <si>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</si>
  <si>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</si>
  <si>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</si>
  <si>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</si>
  <si>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</si>
  <si>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</si>
  <si>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</si>
  <si>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</si>
  <si>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</si>
  <si>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</si>
  <si>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</si>
  <si>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</si>
  <si>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</si>
  <si>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</si>
  <si>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</si>
  <si>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</si>
  <si>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</si>
  <si>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</si>
  <si>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</si>
  <si>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</si>
  <si>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</si>
  <si>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</si>
  <si>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</si>
  <si>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</si>
  <si>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</si>
  <si>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</si>
  <si>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</si>
  <si>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</si>
  <si>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</si>
  <si>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</si>
  <si>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</si>
  <si>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</si>
  <si>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</si>
  <si>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</si>
  <si>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</si>
  <si>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</si>
  <si>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</si>
  <si>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</si>
  <si>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</si>
  <si>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</si>
  <si>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</si>
  <si>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</si>
  <si>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</si>
  <si>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</si>
  <si>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</si>
  <si>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</si>
  <si>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</si>
  <si>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</si>
  <si>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</si>
  <si>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</si>
  <si>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</si>
  <si>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</si>
  <si>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</si>
  <si>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</si>
  <si>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</si>
  <si>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</si>
  <si>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</si>
  <si>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</si>
  <si>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</si>
  <si>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</si>
  <si>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</si>
  <si>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</si>
  <si>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</si>
  <si>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</si>
  <si>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</si>
  <si>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</si>
  <si>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</si>
  <si>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</si>
  <si>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</si>
  <si>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</si>
  <si>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</si>
  <si>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</si>
  <si>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</si>
  <si>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</si>
  <si>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</si>
  <si>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</si>
  <si>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</si>
  <si>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</si>
  <si>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</si>
  <si>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</si>
  <si>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</si>
  <si>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</si>
  <si>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</si>
  <si>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</si>
  <si>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</si>
  <si>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</si>
  <si>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</si>
  <si>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</si>
  <si>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</si>
  <si>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</si>
  <si>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</si>
  <si>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</si>
  <si>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</si>
  <si>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</si>
  <si>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</si>
  <si>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</si>
  <si>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</si>
  <si>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</si>
  <si>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</si>
  <si>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</si>
  <si>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</si>
  <si>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</si>
  <si>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</si>
  <si>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</si>
  <si>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</si>
  <si>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</si>
  <si>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</si>
  <si>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</si>
  <si>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</si>
  <si>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</si>
  <si>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</si>
  <si>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</si>
  <si>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</si>
  <si>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</si>
  <si>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</si>
  <si>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</si>
  <si>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</si>
  <si>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</si>
  <si>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</si>
  <si>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</si>
  <si>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</si>
  <si>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</si>
  <si>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</si>
  <si>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</si>
  <si>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</si>
  <si>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</si>
  <si>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</si>
  <si>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</si>
  <si>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</si>
  <si>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</si>
  <si>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</si>
  <si>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</si>
  <si>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</si>
  <si>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</si>
  <si>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</si>
  <si>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</si>
  <si>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</si>
  <si>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</si>
  <si>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</si>
  <si>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</si>
  <si>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</si>
  <si>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</si>
  <si>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</si>
  <si>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</si>
  <si>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</si>
  <si>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</si>
  <si>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</si>
  <si>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</si>
  <si>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</si>
  <si>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</si>
  <si>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</si>
  <si>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</si>
  <si>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</si>
  <si>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</si>
  <si>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</si>
  <si>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</si>
  <si>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</si>
  <si>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</si>
  <si>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</si>
  <si>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</si>
  <si>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</si>
  <si>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</si>
  <si>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</si>
  <si>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</si>
  <si>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</si>
  <si>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</si>
  <si>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</si>
  <si>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</si>
  <si>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</si>
  <si>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</si>
  <si>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</si>
  <si>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</si>
  <si>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</si>
  <si>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</si>
  <si>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</si>
  <si>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</si>
  <si>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</si>
  <si>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</si>
  <si>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</si>
  <si>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</si>
  <si>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</si>
  <si>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</si>
  <si>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</si>
  <si>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</si>
  <si>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</si>
  <si>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</si>
  <si>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</si>
  <si>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</si>
  <si>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</si>
  <si>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</si>
  <si>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</si>
  <si>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</si>
  <si>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</si>
  <si>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</si>
  <si>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</si>
  <si>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</si>
  <si>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</si>
  <si>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</si>
  <si>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</si>
  <si>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</si>
  <si>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</si>
  <si>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</si>
  <si>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</si>
  <si>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</si>
  <si>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</si>
  <si>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</si>
  <si>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</si>
  <si>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</si>
  <si>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</si>
  <si>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</si>
  <si>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</si>
  <si>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</si>
  <si>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</si>
  <si>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</si>
  <si>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</si>
  <si>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</si>
  <si>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</si>
  <si>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</si>
  <si>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</si>
  <si>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</si>
  <si>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</si>
  <si>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</si>
  <si>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</si>
  <si>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</si>
  <si>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</si>
  <si>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</si>
  <si>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</si>
  <si>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</si>
  <si>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</si>
  <si>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</si>
  <si>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</si>
  <si>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</si>
  <si>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</si>
  <si>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</si>
  <si>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</si>
  <si>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</si>
  <si>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</si>
  <si>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</si>
  <si>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</si>
  <si>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</si>
  <si>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</si>
  <si>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</si>
  <si>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</si>
  <si>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</si>
  <si>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</si>
  <si>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</si>
  <si>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</si>
  <si>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</si>
  <si>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</si>
  <si>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</si>
  <si>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</si>
  <si>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</si>
  <si>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</si>
  <si>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</si>
  <si>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</si>
  <si>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</si>
  <si>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</si>
  <si>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</si>
  <si>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</si>
  <si>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</si>
  <si>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</si>
  <si>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</si>
  <si>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</si>
  <si>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</si>
  <si>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</si>
  <si>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</si>
  <si>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</si>
  <si>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</si>
  <si>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</si>
  <si>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</si>
  <si>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</si>
  <si>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</si>
  <si>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</si>
  <si>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</si>
  <si>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</si>
  <si>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</si>
  <si>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</si>
  <si>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</si>
  <si>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</si>
  <si>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</si>
  <si>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</si>
  <si>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</si>
  <si>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</si>
  <si>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</si>
  <si>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</si>
  <si>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</si>
  <si>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</si>
  <si>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</si>
  <si>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</si>
  <si>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</si>
  <si>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</si>
  <si>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</si>
  <si>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</si>
  <si>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</si>
  <si>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</si>
  <si>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</si>
  <si>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</si>
  <si>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</si>
  <si>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</si>
  <si>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</si>
  <si>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</si>
  <si>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</si>
  <si>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</si>
  <si>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</si>
  <si>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</si>
  <si>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</si>
  <si>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</si>
  <si>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</si>
  <si>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</si>
  <si>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</si>
  <si>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</si>
  <si>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</si>
  <si>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</si>
  <si>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</si>
  <si>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</si>
  <si>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</si>
  <si>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</si>
  <si>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</si>
  <si>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</si>
  <si>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</si>
  <si>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</si>
  <si>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</si>
  <si>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</si>
  <si>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</si>
  <si>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</si>
  <si>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</si>
  <si>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</si>
  <si>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</si>
  <si>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</si>
  <si>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</si>
  <si>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</si>
  <si>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</si>
  <si>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</si>
  <si>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</si>
  <si>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</si>
  <si>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</si>
  <si>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</si>
  <si>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</si>
  <si>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</si>
  <si>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</si>
  <si>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</si>
  <si>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</si>
  <si>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</si>
  <si>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</si>
  <si>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</si>
  <si>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</si>
  <si>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</si>
  <si>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</si>
  <si>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</si>
  <si>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</si>
  <si>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</si>
  <si>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</si>
  <si>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</si>
  <si>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</si>
  <si>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</si>
  <si>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</si>
  <si>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</si>
  <si>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</si>
  <si>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</si>
  <si>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</si>
  <si>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</si>
  <si>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</si>
  <si>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</si>
  <si>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</si>
  <si>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</si>
  <si>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</si>
  <si>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</si>
  <si>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</si>
  <si>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</si>
  <si>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</si>
  <si>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</si>
  <si>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</si>
  <si>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</si>
  <si>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</si>
  <si>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</si>
  <si>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</si>
  <si>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</si>
  <si>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</si>
  <si>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</si>
  <si>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</si>
  <si>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</si>
  <si>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</si>
  <si>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</si>
  <si>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</si>
  <si>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</si>
  <si>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</si>
  <si>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</si>
  <si>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</si>
  <si>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</si>
  <si>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</si>
  <si>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</si>
  <si>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</si>
  <si>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</si>
  <si>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</si>
  <si>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</si>
  <si>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</si>
  <si>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</si>
  <si>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</si>
  <si>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</si>
  <si>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</si>
  <si>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</si>
  <si>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</si>
  <si>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</si>
  <si>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</si>
  <si>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</si>
  <si>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</si>
  <si>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</si>
  <si>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</si>
  <si>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</si>
  <si>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</si>
  <si>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</si>
  <si>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</si>
  <si>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</si>
  <si>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</si>
  <si>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</si>
  <si>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</si>
  <si>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</si>
  <si>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</si>
  <si>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</si>
  <si>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</si>
  <si>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</si>
  <si>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</si>
  <si>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</si>
  <si>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</si>
  <si>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</si>
  <si>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</si>
  <si>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</si>
  <si>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</si>
  <si>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</si>
  <si>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</si>
  <si>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</si>
  <si>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</si>
  <si>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</si>
  <si>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</si>
  <si>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</si>
  <si>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</si>
  <si>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</si>
  <si>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</si>
  <si>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</si>
  <si>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</si>
  <si>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</si>
  <si>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</si>
  <si>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</si>
  <si>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</si>
  <si>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</si>
  <si>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</si>
  <si>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</si>
  <si>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</si>
  <si>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</si>
  <si>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</si>
  <si>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</si>
  <si>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</si>
  <si>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</si>
  <si>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</si>
  <si>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</si>
  <si>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</si>
  <si>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</si>
  <si>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</si>
  <si>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</si>
  <si>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</si>
  <si>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</si>
  <si>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</si>
  <si>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</si>
  <si>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</si>
  <si>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</si>
  <si>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</si>
  <si>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</si>
  <si>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</si>
  <si>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</si>
  <si>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</si>
  <si>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</si>
  <si>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</si>
  <si>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</si>
  <si>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</si>
  <si>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</si>
  <si>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</si>
  <si>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</si>
  <si>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</si>
  <si>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</si>
  <si>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</si>
  <si>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</si>
  <si>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</si>
  <si>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</si>
  <si>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</si>
  <si>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</si>
  <si>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</si>
  <si>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</si>
  <si>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</si>
  <si>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</si>
  <si>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</si>
  <si>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</si>
  <si>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</si>
  <si>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</si>
  <si>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</si>
  <si>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</si>
  <si>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</si>
  <si>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</si>
  <si>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</si>
  <si>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</si>
  <si>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</si>
  <si>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</si>
  <si>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</si>
  <si>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</si>
  <si>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</si>
  <si>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</si>
  <si>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</si>
  <si>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</si>
  <si>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</si>
  <si>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</si>
  <si>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</si>
  <si>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</si>
  <si>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</si>
  <si>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</si>
  <si>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</si>
  <si>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</si>
  <si>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</si>
  <si>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</si>
  <si>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</si>
  <si>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</si>
  <si>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</si>
  <si>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</si>
  <si>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</si>
  <si>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</si>
  <si>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</si>
  <si>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</si>
  <si>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</si>
  <si>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</si>
  <si>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</si>
  <si>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</si>
  <si>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</si>
  <si>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</si>
  <si>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</si>
  <si>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</si>
  <si>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</si>
  <si>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</si>
  <si>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</si>
  <si>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</si>
  <si>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</si>
  <si>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</si>
  <si>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</si>
  <si>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</si>
  <si>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</si>
  <si>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</si>
  <si>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</si>
  <si>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</si>
  <si>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</si>
  <si>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</si>
  <si>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</si>
  <si>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</si>
  <si>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</si>
  <si>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</si>
  <si>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</si>
  <si>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</si>
  <si>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</si>
  <si>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</si>
  <si>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</si>
  <si>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</si>
  <si>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</si>
  <si>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</si>
  <si>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</si>
  <si>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</si>
  <si>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</si>
  <si>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</si>
  <si>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</si>
  <si>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</si>
  <si>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</si>
  <si>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</si>
  <si>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</si>
  <si>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</si>
  <si>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</si>
  <si>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</si>
  <si>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</si>
  <si>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</si>
  <si>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</si>
  <si>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</si>
  <si>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</si>
  <si>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</si>
  <si>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</si>
  <si>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</si>
  <si>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</si>
  <si>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</si>
  <si>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</si>
  <si>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</si>
  <si>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</si>
  <si>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</si>
  <si>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</si>
  <si>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</si>
  <si>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</si>
  <si>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</si>
  <si>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</si>
  <si>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</si>
  <si>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</si>
  <si>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</si>
  <si>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</si>
  <si>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</si>
  <si>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</si>
  <si>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</si>
  <si>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</si>
  <si>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</si>
  <si>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</si>
  <si>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</si>
  <si>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</si>
  <si>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</si>
  <si>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</si>
  <si>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</si>
  <si>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</si>
  <si>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</si>
  <si>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</si>
  <si>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</si>
  <si>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</si>
  <si>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</si>
  <si>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</si>
  <si>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</si>
  <si>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</si>
  <si>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</si>
  <si>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</si>
  <si>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</si>
  <si>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</si>
  <si>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</si>
  <si>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</si>
  <si>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</si>
  <si>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</si>
  <si>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</si>
  <si>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</si>
  <si>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</si>
  <si>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</si>
  <si>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</si>
  <si>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</si>
  <si>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</si>
  <si>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</si>
  <si>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</si>
  <si>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</si>
  <si>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</si>
  <si>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</si>
  <si>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</si>
  <si>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</si>
  <si>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</si>
  <si>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</si>
  <si>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</si>
  <si>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</si>
  <si>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</si>
  <si>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</si>
  <si>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</si>
  <si>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</si>
  <si>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</si>
  <si>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</si>
  <si>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</si>
  <si>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</si>
  <si>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</si>
  <si>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</si>
  <si>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</si>
  <si>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</si>
  <si>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</si>
  <si>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</si>
  <si>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</si>
  <si>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</si>
  <si>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</si>
  <si>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</si>
  <si>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</si>
  <si>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</si>
  <si>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</si>
  <si>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</si>
  <si>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</si>
  <si>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</si>
  <si>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</si>
  <si>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</si>
  <si>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</si>
  <si>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</si>
  <si>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</si>
  <si>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</si>
  <si>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</si>
  <si>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</si>
  <si>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</si>
  <si>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</si>
  <si>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</si>
  <si>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</si>
  <si>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</si>
  <si>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</si>
  <si>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</si>
  <si>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</si>
  <si>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</si>
  <si>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</si>
  <si>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</si>
  <si>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</si>
  <si>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</si>
  <si>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</si>
  <si>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</si>
  <si>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</si>
  <si>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</si>
  <si>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</si>
  <si>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</si>
  <si>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</si>
  <si>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</si>
  <si>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</si>
  <si>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</si>
  <si>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</si>
  <si>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</si>
  <si>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</si>
  <si>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</si>
  <si>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</si>
  <si>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</si>
  <si>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</si>
  <si>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</si>
  <si>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</si>
  <si>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</si>
  <si>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</si>
  <si>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</si>
  <si>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</si>
  <si>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</si>
  <si>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</si>
  <si>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</si>
  <si>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</si>
  <si>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</si>
  <si>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</si>
  <si>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</si>
  <si>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</si>
  <si>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</si>
  <si>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</si>
  <si>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</si>
  <si>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</si>
  <si>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</si>
  <si>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</si>
  <si>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</si>
  <si>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</si>
  <si>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</si>
  <si>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</si>
  <si>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</si>
  <si>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</si>
  <si>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</si>
  <si>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</si>
  <si>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</si>
  <si>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</si>
  <si>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</si>
  <si>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</si>
  <si>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</si>
  <si>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</si>
  <si>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</si>
  <si>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</si>
  <si>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</si>
  <si>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</si>
  <si>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</si>
  <si>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</si>
  <si>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</si>
  <si>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</si>
  <si>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</si>
  <si>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</si>
  <si>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</si>
  <si>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</si>
  <si>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</si>
  <si>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</si>
  <si>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</si>
  <si>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</si>
  <si>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</si>
  <si>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</si>
  <si>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</si>
  <si>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</si>
  <si>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</si>
  <si>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</si>
  <si>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</si>
  <si>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</si>
  <si>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</si>
  <si>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</si>
  <si>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</si>
  <si>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</si>
  <si>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</si>
  <si>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</si>
  <si>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</si>
  <si>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</si>
  <si>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</si>
  <si>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</si>
  <si>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</si>
  <si>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</si>
  <si>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</si>
  <si>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</si>
  <si>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</si>
  <si>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</si>
  <si>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</si>
  <si>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</si>
  <si>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</si>
  <si>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</si>
  <si>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</si>
  <si>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</si>
  <si>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</si>
  <si>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</si>
  <si>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</si>
  <si>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</si>
  <si>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</si>
  <si>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</si>
  <si>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</si>
  <si>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</si>
  <si>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</si>
  <si>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</si>
  <si>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</si>
  <si>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</si>
  <si>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</si>
  <si>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</si>
  <si>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</si>
  <si>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</si>
  <si>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</si>
  <si>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</si>
  <si>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</si>
  <si>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</si>
  <si>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</si>
  <si>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</si>
  <si>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</si>
  <si>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</si>
  <si>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</si>
  <si>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</si>
  <si>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</si>
  <si>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</si>
  <si>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</si>
  <si>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</si>
  <si>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</si>
  <si>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</si>
  <si>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</si>
  <si>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</si>
  <si>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</si>
  <si>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</si>
  <si>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</si>
  <si>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</si>
  <si>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</si>
  <si>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</si>
  <si>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</si>
  <si>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</si>
  <si>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</si>
  <si>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</si>
  <si>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</si>
  <si>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</si>
  <si>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</si>
  <si>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</si>
  <si>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</si>
  <si>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</si>
  <si>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</si>
  <si>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</si>
  <si>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</si>
  <si>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</si>
  <si>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</si>
  <si>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</si>
  <si>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</si>
  <si>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</si>
  <si>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</si>
  <si>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</si>
  <si>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</si>
  <si>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</si>
  <si>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</si>
  <si>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</si>
  <si>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</si>
  <si>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</si>
  <si>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</si>
  <si>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</si>
  <si>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</si>
  <si>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</si>
  <si>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</si>
  <si>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</si>
  <si>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</si>
  <si>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</si>
  <si>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</si>
  <si>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</si>
  <si>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</si>
  <si>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</si>
  <si>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</si>
  <si>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</si>
  <si>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</si>
  <si>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</si>
  <si>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</si>
  <si>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</si>
  <si>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</si>
  <si>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</si>
  <si>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</si>
  <si>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</si>
  <si>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</si>
  <si>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</si>
  <si>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</si>
  <si>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</si>
  <si>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</si>
  <si>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</si>
  <si>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</si>
  <si>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</si>
  <si>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</si>
  <si>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</si>
  <si>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</si>
  <si>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</si>
  <si>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</si>
  <si>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</si>
  <si>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</si>
  <si>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</si>
  <si>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</si>
  <si>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</si>
  <si>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</si>
  <si>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</si>
  <si>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</si>
  <si>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</si>
  <si>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</si>
  <si>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</si>
  <si>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</si>
  <si>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</si>
  <si>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</si>
  <si>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</si>
  <si>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</si>
  <si>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</si>
  <si>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</si>
  <si>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</si>
  <si>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</si>
  <si>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</si>
  <si>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</si>
  <si>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</si>
  <si>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</si>
  <si>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</si>
  <si>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</si>
  <si>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</si>
  <si>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</si>
  <si>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</si>
  <si>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</si>
  <si>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</si>
  <si>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</si>
  <si>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</si>
  <si>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</si>
  <si>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</si>
  <si>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</si>
  <si>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</si>
  <si>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</si>
  <si>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</si>
  <si>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</si>
  <si>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</si>
  <si>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</si>
  <si>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</si>
  <si>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</si>
  <si>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</si>
  <si>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</si>
  <si>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</si>
  <si>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</si>
  <si>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</si>
  <si>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</si>
  <si>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</si>
  <si>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</si>
  <si>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</si>
  <si>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</si>
  <si>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</si>
  <si>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</si>
  <si>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</si>
  <si>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</si>
  <si>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</si>
  <si>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</si>
  <si>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</si>
  <si>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</si>
  <si>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</si>
  <si>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</si>
  <si>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</si>
  <si>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</si>
  <si>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</si>
  <si>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</si>
  <si>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</si>
  <si>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</si>
  <si>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</si>
  <si>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</si>
  <si>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</si>
  <si>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</si>
  <si>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</si>
  <si>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</si>
  <si>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</si>
  <si>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</si>
  <si>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</si>
  <si>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</si>
  <si>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</si>
  <si>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</si>
  <si>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</si>
  <si>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</si>
  <si>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</si>
  <si>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</si>
  <si>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</si>
  <si>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</si>
  <si>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</si>
  <si>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</si>
  <si>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</si>
  <si>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</si>
  <si>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</si>
  <si>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</si>
  <si>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</si>
  <si>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</si>
  <si>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</si>
  <si>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</si>
  <si>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</si>
  <si>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</si>
  <si>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</si>
  <si>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</si>
  <si>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</si>
  <si>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</si>
  <si>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</si>
  <si>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</si>
  <si>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</si>
  <si>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</si>
  <si>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</si>
  <si>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</si>
  <si>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</si>
  <si>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</si>
  <si>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</si>
  <si>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</si>
  <si>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</si>
  <si>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</si>
  <si>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</si>
  <si>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</si>
  <si>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</si>
  <si>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</si>
  <si>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</si>
  <si>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</si>
  <si>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</si>
  <si>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</si>
  <si>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</si>
  <si>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</si>
  <si>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</si>
  <si>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</si>
  <si>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</si>
  <si>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</si>
  <si>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</si>
  <si>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</si>
  <si>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</si>
  <si>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</si>
  <si>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</si>
  <si>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</si>
  <si>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</si>
  <si>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</si>
  <si>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</si>
  <si>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</si>
  <si>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</si>
  <si>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</si>
  <si>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</si>
  <si>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</si>
  <si>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</si>
  <si>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</si>
  <si>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</si>
  <si>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</si>
  <si>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</si>
  <si>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</si>
  <si>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</si>
  <si>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</si>
  <si>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</si>
  <si>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</si>
  <si>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</si>
  <si>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</si>
  <si>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</si>
  <si>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</si>
  <si>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</si>
  <si>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</si>
  <si>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</si>
  <si>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</si>
  <si>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</si>
  <si>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</si>
  <si>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</si>
  <si>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</si>
  <si>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</si>
  <si>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</si>
  <si>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</si>
  <si>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</si>
  <si>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</si>
  <si>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</si>
  <si>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</si>
  <si>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</si>
  <si>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</si>
  <si>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</si>
  <si>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</si>
  <si>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</si>
  <si>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</si>
  <si>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</si>
  <si>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</si>
  <si>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</si>
  <si>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</si>
  <si>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</si>
  <si>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</si>
  <si>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</si>
  <si>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</si>
  <si>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</si>
  <si>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</si>
  <si>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</si>
  <si>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</si>
  <si>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</si>
  <si>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</si>
  <si>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</si>
  <si>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</si>
  <si>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</si>
  <si>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</si>
  <si>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</si>
  <si>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</si>
  <si>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</si>
  <si>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</si>
  <si>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</si>
  <si>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</si>
  <si>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</si>
  <si>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</si>
  <si>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</si>
  <si>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</si>
  <si>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</si>
  <si>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</si>
  <si>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</si>
  <si>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</si>
  <si>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</si>
  <si>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</si>
  <si>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</si>
  <si>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</si>
  <si>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</si>
  <si>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</si>
  <si>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</si>
  <si>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</si>
  <si>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</si>
  <si>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</si>
  <si>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</si>
  <si>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</si>
  <si>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</si>
  <si>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</si>
  <si>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</si>
  <si>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</si>
  <si>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</si>
  <si>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</si>
  <si>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</si>
  <si>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</si>
  <si>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</si>
  <si>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</si>
  <si>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</si>
  <si>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</si>
  <si>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</si>
  <si>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</si>
  <si>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</si>
  <si>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</si>
  <si>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</si>
  <si>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</si>
  <si>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</si>
  <si>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</si>
  <si>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</si>
  <si>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</si>
  <si>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</si>
  <si>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</si>
  <si>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</si>
  <si>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</si>
  <si>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</si>
  <si>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</si>
  <si>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</si>
  <si>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</si>
  <si>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</si>
  <si>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</si>
  <si>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</si>
  <si>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</si>
  <si>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</si>
  <si>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</si>
  <si>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</si>
  <si>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</si>
  <si>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</si>
  <si>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</si>
  <si>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</si>
  <si>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</si>
  <si>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</si>
  <si>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</si>
  <si>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</si>
  <si>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</si>
  <si>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</si>
  <si>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</si>
  <si>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</si>
  <si>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</si>
  <si>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</si>
  <si>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</si>
  <si>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</si>
  <si>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</si>
  <si>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</si>
  <si>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</si>
  <si>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</si>
  <si>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</si>
  <si>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</si>
  <si>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</si>
  <si>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</si>
  <si>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</si>
  <si>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</si>
  <si>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</si>
  <si>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</si>
  <si>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</si>
  <si>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</si>
  <si>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</si>
  <si>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</si>
  <si>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</si>
  <si>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</si>
  <si>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</si>
  <si>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</si>
  <si>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</si>
  <si>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</si>
  <si>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</si>
  <si>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</si>
  <si>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</si>
  <si>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</si>
  <si>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</si>
  <si>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</si>
  <si>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</si>
  <si>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</si>
  <si>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</si>
  <si>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</si>
  <si>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</si>
  <si>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</si>
  <si>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</si>
  <si>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</si>
  <si>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</si>
  <si>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</si>
  <si>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</si>
  <si>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</si>
  <si>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</si>
  <si>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</si>
  <si>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</si>
  <si>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</si>
  <si>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</si>
  <si>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</si>
  <si>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</si>
  <si>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</si>
  <si>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</si>
  <si>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</si>
  <si>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</si>
  <si>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</si>
  <si>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</si>
  <si>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</si>
  <si>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</si>
  <si>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</si>
  <si>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</si>
  <si>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</si>
  <si>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</si>
  <si>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</si>
  <si>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</si>
  <si>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</si>
  <si>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</si>
  <si>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</si>
  <si>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</si>
  <si>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</si>
  <si>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</si>
  <si>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</si>
  <si>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</si>
  <si>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</si>
  <si>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</si>
  <si>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</si>
  <si>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</si>
  <si>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</si>
  <si>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</si>
  <si>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</si>
  <si>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</si>
  <si>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</si>
  <si>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</si>
  <si>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</si>
  <si>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</si>
  <si>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</si>
  <si>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</si>
  <si>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</si>
  <si>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</si>
  <si>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</si>
  <si>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</si>
  <si>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</si>
  <si>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</si>
  <si>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</si>
  <si>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</si>
  <si>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</si>
  <si>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</si>
  <si>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</si>
  <si>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</si>
  <si>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</si>
  <si>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</si>
  <si>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</si>
  <si>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</si>
  <si>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</si>
  <si>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</si>
  <si>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</si>
  <si>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</si>
  <si>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</si>
  <si>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</si>
  <si>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</si>
  <si>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</si>
  <si>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</si>
  <si>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</si>
  <si>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</si>
  <si>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</si>
  <si>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</si>
  <si>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</si>
  <si>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</si>
  <si>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</si>
  <si>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</si>
  <si>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</si>
  <si>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</si>
  <si>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</si>
  <si>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</si>
  <si>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</si>
  <si>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</si>
  <si>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</si>
  <si>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</si>
  <si>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</si>
  <si>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</si>
  <si>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</si>
  <si>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</si>
  <si>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</si>
  <si>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</si>
  <si>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</si>
  <si>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</si>
  <si>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</si>
  <si>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</si>
  <si>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</si>
  <si>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</si>
  <si>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</si>
  <si>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</si>
  <si>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</si>
  <si>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</si>
  <si>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</si>
  <si>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</si>
  <si>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</si>
  <si>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</si>
  <si>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</si>
  <si>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</si>
  <si>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</si>
  <si>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</si>
  <si>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</si>
  <si>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</si>
  <si>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</si>
  <si>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</si>
  <si>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</si>
  <si>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</si>
  <si>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</si>
  <si>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</si>
  <si>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</si>
  <si>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</si>
  <si>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</si>
  <si>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</si>
  <si>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</si>
  <si>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</si>
  <si>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</si>
  <si>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</si>
  <si>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</si>
  <si>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</si>
  <si>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</si>
  <si>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</si>
  <si>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</si>
  <si>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</si>
  <si>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</si>
  <si>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</si>
  <si>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</si>
  <si>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</si>
  <si>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</si>
  <si>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</si>
  <si>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</si>
  <si>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</si>
  <si>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</si>
  <si>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</si>
  <si>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</si>
  <si>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</si>
  <si>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</si>
  <si>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</si>
  <si>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</si>
  <si>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</si>
  <si>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</si>
  <si>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</si>
  <si>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</si>
  <si>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</si>
  <si>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</si>
  <si>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</si>
  <si>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</si>
  <si>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</si>
  <si>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</si>
  <si>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</si>
  <si>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</si>
  <si>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</si>
  <si>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</si>
  <si>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</si>
  <si>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</si>
  <si>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</si>
  <si>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</si>
  <si>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</si>
  <si>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</si>
  <si>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</si>
  <si>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</si>
  <si>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</si>
  <si>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</si>
  <si>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</si>
  <si>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</si>
  <si>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</si>
  <si>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</si>
  <si>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</si>
  <si>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</si>
  <si>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</si>
  <si>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</si>
  <si>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</si>
  <si>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</si>
  <si>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</si>
  <si>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</si>
  <si>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</si>
  <si>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</si>
  <si>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</si>
  <si>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</si>
  <si>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</si>
  <si>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</si>
  <si>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</si>
  <si>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</si>
  <si>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</si>
  <si>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</si>
  <si>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</si>
  <si>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</si>
  <si>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</si>
  <si>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</si>
  <si>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</si>
  <si>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</si>
  <si>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</si>
  <si>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</si>
  <si>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</si>
  <si>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</si>
  <si>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</si>
  <si>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</si>
  <si>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</si>
  <si>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</si>
  <si>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</si>
  <si>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</si>
  <si>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</si>
  <si>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</si>
  <si>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</si>
  <si>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</si>
  <si>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</si>
  <si>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</si>
  <si>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</si>
  <si>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</si>
  <si>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</si>
  <si>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</si>
  <si>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</si>
  <si>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</si>
  <si>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</si>
  <si>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</si>
  <si>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</si>
  <si>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</si>
  <si>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</si>
  <si>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</si>
  <si>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</si>
  <si>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</si>
  <si>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</si>
  <si>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</si>
  <si>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</si>
  <si>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</si>
  <si>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</si>
  <si>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</si>
  <si>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</si>
  <si>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</si>
  <si>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</si>
  <si>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</si>
  <si>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</si>
  <si>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</si>
  <si>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</si>
  <si>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</si>
  <si>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</si>
  <si>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</si>
  <si>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</si>
  <si>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</si>
  <si>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</si>
  <si>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</si>
  <si>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</si>
  <si>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</si>
  <si>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</si>
  <si>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</si>
  <si>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</si>
  <si>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</si>
  <si>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</si>
  <si>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</si>
  <si>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</si>
  <si>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</si>
  <si>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</si>
  <si>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</si>
  <si>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</si>
  <si>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</si>
  <si>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</si>
  <si>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</si>
  <si>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</si>
  <si>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</si>
  <si>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</si>
  <si>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</si>
  <si>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</si>
  <si>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</si>
  <si>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</si>
  <si>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</si>
  <si>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</si>
  <si>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</si>
  <si>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</si>
  <si>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</si>
  <si>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</si>
  <si>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</si>
  <si>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</si>
  <si>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</si>
  <si>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</si>
  <si>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</si>
  <si>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</si>
  <si>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</si>
  <si>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</si>
  <si>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</si>
  <si>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</si>
  <si>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</si>
  <si>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</si>
  <si>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</si>
  <si>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</si>
  <si>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</si>
  <si>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</si>
  <si>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</si>
  <si>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</si>
  <si>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</si>
  <si>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</si>
  <si>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</si>
  <si>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</si>
  <si>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</si>
  <si>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</si>
  <si>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</si>
  <si>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</si>
  <si>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</si>
  <si>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</si>
  <si>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</si>
  <si>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</si>
  <si>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</si>
  <si>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</si>
  <si>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</si>
  <si>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</si>
  <si>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</si>
  <si>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</si>
  <si>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</si>
  <si>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</si>
  <si>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</si>
  <si>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</si>
  <si>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</si>
  <si>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</si>
  <si>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</si>
  <si>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</si>
  <si>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</si>
  <si>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</si>
  <si>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</si>
  <si>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</si>
  <si>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</si>
  <si>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</si>
  <si>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</si>
  <si>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</si>
  <si>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</si>
  <si>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</si>
  <si>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</si>
  <si>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</si>
  <si>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</si>
  <si>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</si>
  <si>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</si>
  <si>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</si>
  <si>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</si>
  <si>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</si>
  <si>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</si>
  <si>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</si>
  <si>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</si>
  <si>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</si>
  <si>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</si>
  <si>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</si>
  <si>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</si>
  <si>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</si>
  <si>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</si>
  <si>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</si>
  <si>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</si>
  <si>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</si>
  <si>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</si>
  <si>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</si>
  <si>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</si>
  <si>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</si>
  <si>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</si>
  <si>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</si>
  <si>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</si>
  <si>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</si>
  <si>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</si>
  <si>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</si>
  <si>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</si>
  <si>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</si>
  <si>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</si>
  <si>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</si>
  <si>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</si>
  <si>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</si>
  <si>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</si>
  <si>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</si>
  <si>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</si>
  <si>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</si>
  <si>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</si>
  <si>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</si>
  <si>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</si>
  <si>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</si>
  <si>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</si>
  <si>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</si>
  <si>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</si>
  <si>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</si>
  <si>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</si>
  <si>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</si>
  <si>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</si>
  <si>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</si>
  <si>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</si>
  <si>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</si>
  <si>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</si>
  <si>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</si>
  <si>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</si>
  <si>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</si>
  <si>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</si>
  <si>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</si>
  <si>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</si>
  <si>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</si>
  <si>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</si>
  <si>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</si>
  <si>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</si>
  <si>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</si>
  <si>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</si>
  <si>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</si>
  <si>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</si>
  <si>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</si>
  <si>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</si>
  <si>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</si>
  <si>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</si>
  <si>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</si>
  <si>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</si>
  <si>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</si>
  <si>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</si>
  <si>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</si>
  <si>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</si>
  <si>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</si>
  <si>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</si>
  <si>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</si>
  <si>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</si>
  <si>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</si>
  <si>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</si>
  <si>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</si>
  <si>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</si>
  <si>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</si>
  <si>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</si>
  <si>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</si>
  <si>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</si>
  <si>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</si>
  <si>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</si>
  <si>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</si>
  <si>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</si>
  <si>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</si>
  <si>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</si>
  <si>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</si>
  <si>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</si>
  <si>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</si>
  <si>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</si>
  <si>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</si>
  <si>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</si>
  <si>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</si>
  <si>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</si>
  <si>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</si>
  <si>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</si>
  <si>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</si>
  <si>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</si>
  <si>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</si>
  <si>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</si>
  <si>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</si>
  <si>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</si>
  <si>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</si>
  <si>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</si>
  <si>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</si>
  <si>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</si>
  <si>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</si>
  <si>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</si>
  <si>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</si>
  <si>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</si>
  <si>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</si>
  <si>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</si>
  <si>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</si>
  <si>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</si>
  <si>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</si>
  <si>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</si>
  <si>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</si>
  <si>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</si>
  <si>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</si>
  <si>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</si>
  <si>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</si>
  <si>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</si>
  <si>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</si>
  <si>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</si>
  <si>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</si>
  <si>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</si>
  <si>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</si>
  <si>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</si>
  <si>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</si>
  <si>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</si>
  <si>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</si>
  <si>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</si>
  <si>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</si>
  <si>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</si>
  <si>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</si>
  <si>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</si>
  <si>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</si>
  <si>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</si>
  <si>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</si>
  <si>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</si>
  <si>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</si>
  <si>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</si>
  <si>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</si>
  <si>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</si>
  <si>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</si>
  <si>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</si>
  <si>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</si>
  <si>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</si>
  <si>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</si>
  <si>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</si>
  <si>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</si>
  <si>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</si>
  <si>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</si>
  <si>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</si>
  <si>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</si>
  <si>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</si>
  <si>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</si>
  <si>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</si>
  <si>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</si>
  <si>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</si>
  <si>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</si>
  <si>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</si>
  <si>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</si>
  <si>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</si>
  <si>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</si>
  <si>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</si>
  <si>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</si>
  <si>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</si>
  <si>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</si>
  <si>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</si>
  <si>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</si>
  <si>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</si>
  <si>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</si>
  <si>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</si>
  <si>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</si>
  <si>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</si>
  <si>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</si>
  <si>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</si>
  <si>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</si>
  <si>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</si>
  <si>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</si>
  <si>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</si>
  <si>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</si>
  <si>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</si>
  <si>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</si>
  <si>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</si>
  <si>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</si>
  <si>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</si>
  <si>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</si>
  <si>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</si>
  <si>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</si>
  <si>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</si>
  <si>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</si>
  <si>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</si>
  <si>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</si>
  <si>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</si>
  <si>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</si>
  <si>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</si>
  <si>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</si>
  <si>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</si>
  <si>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</si>
  <si>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</si>
  <si>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</si>
  <si>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</si>
  <si>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</si>
  <si>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</si>
  <si>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</si>
  <si>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</si>
  <si>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</si>
  <si>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</si>
  <si>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</si>
  <si>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</si>
  <si>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</si>
  <si>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</si>
  <si>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</si>
  <si>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</si>
  <si>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</si>
  <si>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</si>
  <si>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</si>
  <si>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</si>
  <si>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</si>
  <si>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</si>
  <si>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</si>
  <si>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</si>
  <si>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</si>
  <si>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</si>
  <si>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</si>
  <si>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</si>
  <si>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</si>
  <si>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</si>
  <si>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</si>
  <si>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</si>
  <si>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</si>
  <si>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</si>
  <si>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</si>
  <si>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</si>
  <si>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</si>
  <si>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</si>
  <si>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</si>
  <si>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</si>
  <si>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</si>
  <si>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</si>
  <si>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</si>
  <si>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</si>
  <si>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</si>
  <si>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</si>
  <si>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</si>
  <si>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</si>
  <si>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</si>
  <si>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</si>
  <si>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</si>
  <si>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</si>
  <si>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</si>
  <si>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</si>
  <si>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</si>
  <si>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</si>
  <si>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</si>
  <si>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</si>
  <si>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</si>
  <si>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</si>
  <si>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</si>
  <si>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</si>
  <si>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</si>
  <si>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</si>
  <si>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</si>
  <si>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</si>
  <si>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</si>
  <si>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</si>
  <si>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</si>
  <si>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</si>
  <si>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</si>
  <si>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</si>
  <si>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</si>
  <si>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</si>
  <si>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</si>
  <si>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</si>
  <si>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</si>
  <si>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</si>
  <si>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</si>
  <si>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</si>
  <si>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</si>
  <si>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</si>
  <si>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</si>
  <si>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</si>
  <si>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</si>
  <si>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</si>
  <si>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</si>
  <si>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</si>
  <si>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</si>
  <si>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</si>
  <si>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</si>
  <si>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</si>
  <si>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</si>
  <si>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</si>
  <si>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</si>
  <si>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</si>
  <si>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</si>
  <si>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</si>
  <si>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</si>
  <si>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</si>
  <si>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</si>
  <si>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</si>
  <si>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</si>
  <si>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</si>
  <si>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</si>
  <si>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</si>
  <si>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</si>
  <si>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</si>
  <si>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</si>
  <si>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</si>
  <si>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</si>
  <si>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</si>
  <si>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</si>
  <si>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</si>
  <si>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</si>
  <si>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</si>
  <si>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</si>
  <si>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</si>
  <si>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</si>
  <si>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</si>
  <si>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</si>
  <si>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</si>
  <si>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</si>
  <si>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</si>
  <si>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</si>
  <si>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</si>
  <si>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</si>
  <si>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</si>
  <si>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</si>
  <si>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</si>
  <si>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</si>
  <si>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</si>
  <si>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</si>
  <si>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</si>
  <si>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</si>
  <si>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</si>
  <si>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</si>
  <si>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</si>
  <si>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</si>
  <si>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</si>
  <si>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</si>
  <si>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</si>
  <si>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</si>
  <si>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</si>
  <si>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</si>
  <si>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</si>
  <si>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</si>
  <si>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</si>
  <si>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</si>
  <si>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</si>
  <si>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</si>
  <si>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</si>
  <si>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</si>
  <si>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</si>
  <si>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</si>
  <si>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</si>
  <si>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</si>
  <si>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</si>
  <si>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</si>
  <si>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</si>
  <si>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</si>
  <si>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</si>
  <si>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</si>
  <si>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</si>
  <si>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</si>
  <si>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</si>
  <si>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</si>
  <si>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</si>
  <si>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</si>
  <si>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</si>
  <si>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</si>
  <si>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</si>
  <si>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</si>
  <si>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</si>
  <si>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</si>
  <si>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</si>
  <si>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</si>
  <si>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</si>
  <si>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</si>
  <si>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</si>
  <si>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</si>
  <si>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</si>
  <si>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</si>
  <si>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</si>
  <si>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</si>
  <si>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</si>
  <si>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</si>
  <si>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</si>
  <si>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</si>
  <si>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</si>
  <si>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</si>
  <si>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</si>
  <si>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</si>
  <si>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</si>
  <si>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</si>
  <si>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</si>
  <si>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</si>
  <si>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</si>
  <si>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</si>
  <si>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</si>
  <si>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</si>
  <si>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</si>
  <si>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</si>
  <si>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</si>
  <si>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</si>
  <si>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</si>
  <si>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</si>
  <si>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</si>
  <si>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</si>
  <si>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</si>
  <si>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</si>
  <si>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</si>
  <si>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</si>
  <si>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</si>
  <si>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</si>
  <si>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</si>
  <si>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</si>
  <si>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</si>
  <si>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</si>
  <si>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</si>
  <si>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</si>
  <si>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</si>
  <si>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</si>
  <si>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</si>
  <si>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</si>
  <si>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</si>
  <si>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</si>
  <si>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</si>
  <si>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</si>
  <si>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</si>
  <si>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</si>
  <si>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</si>
  <si>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</si>
  <si>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</si>
  <si>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</si>
  <si>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</si>
  <si>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</si>
  <si>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</si>
  <si>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</si>
  <si>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</si>
  <si>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</si>
  <si>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</si>
  <si>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</si>
  <si>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</si>
  <si>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</si>
  <si>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</si>
  <si>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</si>
  <si>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</si>
  <si>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</si>
  <si>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</si>
  <si>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</si>
  <si>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</si>
  <si>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</si>
  <si>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</si>
  <si>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</si>
  <si>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</si>
  <si>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</si>
  <si>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</si>
  <si>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</si>
  <si>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</si>
  <si>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</si>
  <si>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</si>
  <si>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</si>
  <si>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</si>
  <si>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</si>
  <si>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</si>
  <si>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</si>
  <si>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</si>
  <si>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</si>
  <si>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</si>
  <si>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</si>
  <si>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</si>
  <si>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</si>
  <si>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</si>
  <si>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</si>
  <si>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</si>
  <si>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</si>
  <si>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</si>
  <si>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</si>
  <si>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</si>
  <si>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</si>
  <si>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</si>
  <si>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</si>
  <si>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</si>
  <si>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</si>
  <si>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</si>
  <si>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</si>
  <si>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</si>
  <si>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</si>
  <si>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</si>
  <si>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</si>
  <si>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</si>
  <si>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</si>
  <si>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</si>
  <si>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</si>
  <si>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</si>
  <si>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</si>
  <si>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</si>
  <si>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</si>
  <si>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</si>
  <si>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</si>
  <si>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</si>
  <si>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</si>
  <si>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</si>
  <si>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</si>
  <si>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</si>
  <si>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</si>
  <si>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</si>
  <si>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</si>
  <si>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</si>
  <si>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</si>
  <si>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</si>
  <si>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</si>
  <si>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</si>
  <si>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</si>
  <si>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</si>
  <si>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</si>
  <si>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</si>
  <si>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</si>
  <si>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</si>
  <si>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</si>
  <si>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</si>
  <si>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</si>
  <si>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</si>
  <si>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</si>
  <si>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</si>
  <si>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</si>
  <si>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</si>
  <si>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</si>
  <si>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</si>
  <si>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</si>
  <si>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</si>
  <si>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</si>
  <si>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</si>
  <si>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</si>
  <si>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</si>
  <si>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</si>
  <si>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</si>
  <si>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</si>
  <si>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</si>
  <si>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</si>
  <si>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</si>
  <si>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</si>
  <si>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</si>
  <si>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</si>
  <si>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</si>
  <si>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</si>
  <si>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</si>
  <si>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</si>
  <si>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</si>
  <si>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</si>
  <si>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</si>
  <si>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</si>
  <si>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</si>
  <si>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</si>
  <si>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</si>
  <si>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</si>
  <si>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</si>
  <si>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</si>
  <si>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</si>
  <si>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</si>
  <si>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</si>
  <si>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</si>
  <si>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</si>
  <si>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</si>
  <si>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</si>
  <si>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</si>
  <si>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</si>
  <si>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</si>
  <si>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</si>
  <si>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</si>
  <si>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</si>
  <si>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</si>
  <si>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</si>
  <si>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</si>
  <si>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</si>
  <si>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</si>
  <si>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</si>
  <si>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</si>
  <si>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</si>
  <si>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</si>
  <si>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</si>
  <si>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</si>
  <si>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</si>
  <si>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</si>
  <si>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</si>
  <si>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</si>
  <si>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</si>
  <si>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</si>
  <si>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</si>
  <si>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</si>
  <si>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</si>
  <si>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</si>
  <si>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</si>
  <si>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</si>
  <si>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</si>
  <si>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</si>
  <si>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</si>
  <si>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</si>
  <si>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</si>
  <si>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</si>
  <si>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</si>
  <si>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</si>
  <si>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</si>
  <si>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</si>
  <si>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</si>
  <si>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</si>
  <si>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</si>
  <si>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</si>
  <si>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</si>
  <si>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</si>
  <si>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</si>
  <si>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</si>
  <si>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</si>
  <si>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</si>
  <si>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</si>
  <si>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</si>
  <si>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</si>
  <si>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</si>
  <si>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</si>
  <si>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</si>
  <si>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</si>
  <si>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</si>
  <si>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</si>
  <si>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</si>
  <si>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</si>
  <si>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</si>
  <si>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</si>
  <si>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</si>
  <si>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</si>
  <si>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</si>
  <si>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</si>
  <si>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</si>
  <si>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</si>
  <si>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</si>
  <si>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</si>
  <si>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</si>
  <si>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</si>
  <si>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</si>
  <si>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</si>
  <si>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</si>
  <si>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</si>
  <si>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</si>
  <si>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</si>
  <si>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</si>
  <si>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</si>
  <si>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</si>
  <si>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</si>
  <si>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</si>
  <si>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</si>
  <si>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</si>
  <si>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</si>
  <si>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</si>
  <si>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</si>
  <si>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</si>
  <si>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</si>
  <si>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</si>
  <si>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</si>
  <si>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</si>
  <si>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</si>
  <si>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</si>
  <si>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</si>
  <si>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</si>
  <si>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</si>
  <si>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</si>
  <si>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</si>
  <si>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</si>
  <si>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</si>
  <si>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</si>
  <si>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</si>
  <si>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</si>
  <si>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</si>
  <si>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</si>
  <si>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</si>
  <si>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</si>
  <si>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</si>
  <si>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</si>
  <si>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</si>
  <si>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</si>
  <si>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</si>
  <si>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</si>
  <si>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</si>
  <si>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</si>
  <si>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</si>
  <si>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</si>
  <si>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</si>
  <si>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</si>
  <si>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</si>
  <si>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</si>
  <si>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</si>
  <si>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</si>
  <si>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</si>
  <si>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</si>
  <si>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</si>
  <si>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</si>
  <si>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</si>
  <si>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</si>
  <si>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</si>
  <si>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</si>
  <si>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</si>
  <si>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</si>
  <si>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</si>
  <si>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</si>
  <si>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</si>
  <si>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</si>
  <si>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</si>
  <si>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</si>
  <si>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</si>
  <si>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</si>
  <si>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</si>
  <si>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</si>
  <si>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</si>
  <si>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</si>
  <si>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</si>
  <si>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</si>
  <si>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</si>
  <si>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</si>
  <si>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</si>
  <si>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</si>
  <si>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</si>
  <si>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</si>
  <si>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</si>
  <si>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</si>
  <si>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</si>
  <si>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</si>
  <si>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</si>
  <si>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</si>
  <si>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</si>
  <si>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</si>
  <si>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</si>
  <si>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</si>
  <si>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</si>
  <si>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</si>
  <si>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</si>
  <si>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</si>
  <si>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</si>
  <si>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</si>
  <si>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</si>
  <si>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</si>
  <si>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</si>
  <si>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</si>
  <si>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</si>
  <si>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</si>
  <si>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</si>
  <si>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</si>
  <si>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</si>
  <si>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</si>
  <si>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</si>
  <si>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</si>
  <si>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</si>
  <si>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</si>
  <si>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</si>
  <si>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</si>
  <si>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</si>
  <si>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</si>
  <si>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</si>
  <si>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</si>
  <si>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</si>
  <si>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</si>
  <si>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</si>
  <si>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</si>
  <si>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</si>
  <si>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</si>
  <si>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</si>
  <si>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</si>
  <si>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</si>
  <si>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</si>
  <si>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</si>
  <si>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</si>
  <si>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</si>
  <si>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</si>
  <si>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</si>
  <si>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</si>
  <si>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</si>
  <si>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</si>
  <si>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</si>
  <si>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</si>
  <si>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</si>
  <si>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</si>
  <si>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</si>
  <si>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</si>
  <si>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</si>
  <si>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</si>
  <si>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</si>
  <si>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</si>
  <si>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</si>
  <si>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</si>
  <si>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</si>
  <si>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</si>
  <si>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</si>
  <si>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</si>
  <si>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</si>
  <si>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</si>
  <si>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</si>
  <si>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</si>
  <si>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</si>
  <si>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</si>
  <si>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</si>
  <si>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</si>
  <si>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</si>
  <si>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</si>
  <si>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</si>
  <si>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</si>
  <si>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</si>
  <si>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</si>
  <si>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</si>
  <si>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</si>
  <si>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</si>
  <si>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</si>
  <si>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</si>
  <si>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</si>
  <si>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</si>
  <si>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</si>
  <si>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</si>
  <si>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</si>
  <si>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</si>
  <si>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</si>
  <si>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</si>
  <si>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</si>
  <si>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</si>
  <si>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</si>
  <si>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</si>
  <si>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</si>
  <si>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</si>
  <si>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</si>
  <si>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</si>
  <si>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</si>
  <si>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</si>
  <si>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</si>
  <si>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</si>
  <si>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</si>
  <si>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</si>
  <si>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</si>
  <si>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</si>
  <si>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</si>
  <si>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</si>
  <si>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</si>
  <si>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</si>
  <si>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</si>
  <si>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</si>
  <si>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</si>
  <si>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</si>
  <si>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</si>
  <si>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</si>
  <si>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</si>
  <si>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</si>
  <si>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</si>
  <si>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</si>
  <si>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</si>
  <si>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</si>
  <si>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</si>
  <si>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</si>
  <si>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</si>
  <si>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</si>
  <si>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</si>
  <si>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</si>
  <si>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</si>
  <si>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</si>
  <si>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</si>
  <si>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</si>
  <si>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</si>
  <si>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</si>
  <si>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</si>
  <si>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</si>
  <si>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</si>
  <si>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</si>
  <si>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</si>
  <si>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</si>
  <si>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</si>
  <si>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</si>
  <si>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</si>
  <si>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</si>
  <si>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</si>
  <si>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</si>
  <si>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</si>
  <si>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</si>
  <si>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</si>
  <si>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</si>
  <si>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</si>
  <si>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</si>
  <si>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</si>
  <si>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</si>
  <si>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</si>
  <si>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</si>
  <si>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</si>
  <si>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</si>
  <si>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</si>
  <si>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</si>
  <si>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</si>
  <si>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</si>
  <si>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</si>
  <si>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</si>
  <si>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</si>
  <si>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</si>
  <si>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</si>
  <si>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</si>
  <si>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</si>
  <si>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</si>
  <si>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</si>
  <si>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</si>
  <si>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</si>
  <si>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</si>
  <si>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</si>
  <si>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</si>
  <si>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</si>
  <si>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</si>
  <si>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</si>
  <si>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</si>
  <si>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</si>
  <si>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</si>
  <si>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</si>
  <si>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</si>
  <si>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</si>
  <si>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</si>
  <si>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</si>
  <si>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</si>
  <si>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</si>
  <si>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</si>
  <si>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</si>
  <si>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</si>
  <si>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</si>
  <si>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</si>
  <si>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</si>
  <si>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</si>
  <si>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</si>
  <si>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</si>
  <si>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</si>
  <si>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</si>
  <si>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</si>
  <si>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</si>
  <si>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</si>
  <si>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</si>
  <si>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</si>
  <si>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</si>
  <si>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</si>
  <si>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</si>
  <si>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</si>
  <si>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</si>
  <si>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</si>
  <si>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</si>
  <si>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</si>
  <si>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</si>
  <si>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</si>
  <si>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</si>
  <si>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</si>
  <si>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</si>
  <si>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</si>
  <si>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</si>
  <si>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</si>
  <si>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</si>
  <si>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</si>
  <si>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</si>
  <si>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</si>
  <si>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</si>
  <si>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</si>
  <si>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</si>
  <si>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</si>
  <si>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</si>
  <si>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</si>
  <si>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</si>
  <si>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</si>
  <si>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</si>
  <si>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</si>
  <si>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</si>
  <si>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</si>
  <si>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</si>
  <si>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</si>
  <si>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</si>
  <si>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</si>
  <si>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</si>
  <si>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</si>
  <si>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</si>
  <si>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</si>
  <si>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</si>
  <si>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</si>
  <si>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</si>
  <si>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</si>
  <si>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</si>
  <si>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</si>
  <si>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</si>
  <si>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</si>
  <si>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</si>
  <si>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</si>
  <si>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</si>
  <si>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</si>
  <si>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</si>
  <si>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</si>
  <si>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</si>
  <si>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</si>
  <si>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</si>
  <si>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</si>
  <si>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</si>
  <si>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</si>
  <si>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</si>
  <si>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</si>
  <si>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</si>
  <si>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</si>
  <si>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</si>
  <si>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</si>
  <si>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</si>
  <si>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</si>
  <si>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</si>
  <si>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</si>
  <si>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</si>
  <si>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</si>
  <si>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</si>
  <si>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</si>
  <si>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</si>
  <si>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</si>
  <si>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</si>
  <si>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</si>
  <si>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</si>
  <si>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</si>
  <si>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</si>
  <si>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</si>
  <si>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</si>
  <si>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</si>
  <si>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</si>
  <si>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</si>
  <si>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</si>
  <si>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</si>
  <si>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</si>
  <si>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</si>
  <si>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</si>
  <si>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</si>
  <si>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</si>
  <si>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</si>
  <si>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</si>
  <si>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</si>
  <si>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</si>
  <si>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</si>
  <si>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</si>
  <si>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</si>
  <si>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</si>
  <si>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</si>
  <si>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</si>
  <si>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</si>
  <si>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</si>
  <si>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</si>
  <si>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</si>
  <si>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</si>
  <si>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</si>
  <si>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</si>
  <si>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</si>
  <si>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</si>
  <si>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</si>
  <si>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</si>
  <si>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</si>
  <si>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</si>
  <si>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</si>
  <si>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</si>
  <si>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</si>
  <si>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</si>
  <si>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</si>
  <si>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</si>
  <si>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</si>
  <si>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</si>
  <si>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</si>
  <si>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</si>
  <si>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</si>
  <si>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</si>
  <si>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</si>
  <si>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</si>
  <si>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</si>
  <si>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</si>
  <si>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</si>
  <si>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</si>
  <si>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</si>
  <si>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</si>
  <si>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</si>
  <si>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</si>
  <si>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</si>
  <si>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</si>
  <si>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</si>
  <si>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</si>
  <si>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</si>
  <si>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</si>
  <si>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</si>
  <si>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</si>
  <si>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</si>
  <si>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</si>
  <si>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</si>
  <si>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</si>
  <si>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</si>
  <si>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</si>
  <si>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</si>
  <si>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</si>
  <si>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</si>
  <si>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</si>
  <si>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</si>
  <si>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</si>
  <si>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</si>
  <si>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</si>
  <si>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</si>
  <si>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</si>
  <si>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</si>
  <si>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</si>
  <si>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</si>
  <si>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</si>
  <si>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</si>
  <si>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</si>
  <si>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</si>
  <si>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</si>
  <si>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</si>
  <si>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</si>
  <si>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</si>
  <si>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</si>
  <si>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</si>
  <si>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</si>
  <si>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</si>
  <si>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</si>
  <si>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</si>
  <si>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</si>
  <si>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</si>
  <si>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</si>
  <si>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</si>
  <si>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</si>
  <si>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</si>
  <si>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</si>
  <si>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</si>
  <si>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</si>
  <si>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</si>
  <si>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</si>
  <si>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</si>
  <si>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</si>
  <si>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</si>
  <si>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</si>
  <si>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</si>
  <si>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</si>
  <si>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</si>
  <si>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</si>
  <si>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</si>
  <si>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</si>
  <si>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</si>
  <si>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</si>
  <si>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</si>
  <si>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</si>
  <si>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</si>
  <si>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</si>
  <si>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</si>
  <si>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</si>
  <si>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</si>
  <si>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</si>
  <si>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</si>
  <si>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</si>
  <si>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</si>
  <si>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</si>
  <si>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</si>
  <si>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</si>
  <si>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</si>
  <si>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</si>
  <si>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</si>
  <si>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</si>
  <si>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</si>
  <si>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</si>
  <si>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</si>
  <si>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</si>
  <si>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</si>
  <si>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</si>
  <si>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</si>
  <si>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</si>
  <si>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</si>
  <si>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</si>
  <si>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</si>
  <si>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</si>
  <si>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</si>
  <si>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</si>
  <si>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</si>
  <si>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</si>
  <si>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</si>
  <si>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</si>
  <si>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</si>
  <si>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</si>
  <si>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</si>
  <si>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</si>
  <si>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</si>
  <si>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</si>
  <si>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</si>
  <si>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</si>
  <si>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</si>
  <si>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</si>
  <si>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</si>
  <si>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</si>
  <si>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</si>
  <si>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</si>
  <si>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</si>
  <si>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</si>
  <si>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</si>
  <si>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</si>
  <si>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</si>
  <si>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</si>
  <si>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</si>
  <si>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</si>
  <si>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</si>
  <si>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</si>
  <si>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</si>
  <si>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</si>
  <si>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</si>
  <si>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</si>
  <si>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</si>
  <si>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</si>
  <si>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</si>
  <si>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</si>
  <si>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</si>
  <si>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</si>
  <si>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</si>
  <si>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</si>
  <si>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</si>
  <si>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</si>
  <si>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</si>
  <si>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</si>
  <si>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</si>
  <si>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</si>
  <si>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</si>
  <si>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</si>
  <si>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</si>
  <si>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</si>
  <si>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</si>
  <si>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</si>
  <si>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</si>
  <si>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</si>
  <si>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</si>
  <si>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</si>
  <si>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</si>
  <si>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</si>
  <si>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</si>
  <si>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</si>
  <si>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</si>
  <si>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</si>
  <si>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</si>
  <si>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</si>
  <si>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</si>
  <si>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</si>
  <si>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</si>
  <si>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</si>
  <si>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</si>
  <si>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</si>
  <si>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</si>
  <si>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</si>
  <si>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</si>
  <si>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</si>
  <si>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</si>
  <si>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</si>
  <si>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</si>
  <si>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</si>
  <si>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</si>
  <si>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</si>
  <si>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</si>
  <si>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</si>
  <si>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</si>
  <si>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</si>
  <si>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</si>
  <si>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</si>
  <si>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</si>
  <si>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</si>
  <si>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</si>
  <si>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</si>
  <si>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</si>
  <si>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</si>
  <si>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</si>
  <si>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</si>
  <si>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</si>
  <si>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</si>
  <si>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</si>
  <si>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</si>
  <si>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</si>
  <si>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</si>
  <si>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</si>
  <si>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</si>
  <si>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</si>
  <si>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</si>
  <si>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</si>
  <si>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</si>
  <si>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</si>
  <si>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</si>
  <si>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</si>
  <si>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</si>
  <si>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</si>
  <si>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</si>
  <si>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</si>
  <si>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</si>
  <si>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</si>
  <si>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</si>
  <si>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</si>
  <si>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</si>
  <si>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</si>
  <si>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</si>
  <si>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</si>
  <si>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</si>
  <si>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</si>
  <si>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</si>
  <si>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</si>
  <si>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</si>
  <si>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</si>
  <si>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</si>
  <si>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</si>
  <si>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</si>
  <si>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</si>
  <si>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</si>
  <si>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</si>
  <si>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</si>
  <si>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</si>
  <si>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</si>
  <si>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</si>
  <si>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</si>
  <si>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</si>
  <si>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</si>
  <si>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</si>
  <si>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</si>
  <si>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</si>
  <si>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</si>
  <si>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</si>
  <si>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</si>
  <si>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</si>
  <si>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</si>
  <si>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</si>
  <si>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</si>
  <si>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</si>
  <si>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</si>
  <si>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</si>
  <si>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</si>
  <si>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</si>
  <si>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</si>
  <si>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</si>
  <si>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</si>
  <si>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</si>
  <si>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</si>
  <si>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</si>
  <si>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</si>
  <si>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</si>
  <si>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</si>
  <si>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</si>
  <si>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</si>
  <si>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</si>
  <si>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</si>
  <si>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</si>
  <si>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</si>
  <si>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</si>
  <si>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</si>
  <si>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</si>
  <si>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</si>
  <si>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</si>
  <si>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</si>
  <si>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</si>
  <si>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</si>
  <si>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</si>
  <si>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</si>
  <si>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</si>
  <si>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</si>
  <si>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</si>
  <si>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</si>
  <si>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</si>
  <si>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</si>
  <si>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</si>
  <si>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</si>
  <si>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</si>
  <si>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</si>
  <si>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</si>
  <si>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</si>
  <si>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</si>
  <si>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</si>
  <si>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</si>
  <si>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</si>
  <si>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</si>
  <si>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</si>
  <si>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</si>
  <si>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</si>
  <si>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</si>
  <si>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</si>
  <si>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</si>
  <si>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</si>
  <si>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</si>
  <si>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</si>
  <si>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</si>
  <si>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</si>
  <si>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</si>
  <si>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</si>
  <si>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</si>
  <si>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</si>
  <si>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</si>
  <si>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</si>
  <si>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</si>
  <si>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</si>
  <si>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</si>
  <si>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</si>
  <si>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</si>
  <si>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</si>
  <si>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</si>
  <si>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</si>
  <si>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</si>
  <si>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</si>
  <si>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</si>
  <si>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</si>
  <si>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</si>
  <si>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</si>
  <si>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</si>
  <si>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</si>
  <si>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</si>
  <si>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</si>
  <si>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</si>
  <si>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</si>
  <si>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</si>
  <si>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</si>
  <si>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</si>
  <si>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</si>
  <si>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</si>
  <si>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</si>
  <si>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</si>
  <si>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</si>
  <si>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</si>
  <si>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</si>
  <si>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</si>
  <si>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</si>
  <si>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</si>
  <si>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</si>
  <si>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</si>
  <si>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</si>
  <si>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</si>
  <si>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</si>
  <si>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</si>
  <si>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</si>
  <si>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</si>
  <si>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</si>
  <si>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</si>
  <si>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</si>
  <si>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</si>
  <si>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</si>
  <si>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</si>
  <si>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</si>
  <si>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</si>
  <si>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</si>
  <si>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</si>
  <si>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</si>
  <si>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</si>
  <si>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</si>
  <si>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</si>
  <si>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</si>
  <si>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</si>
  <si>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</si>
  <si>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</si>
  <si>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</si>
  <si>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</si>
  <si>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</si>
  <si>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</si>
  <si>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</si>
  <si>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</si>
  <si>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</si>
  <si>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</si>
  <si>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</si>
  <si>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</si>
  <si>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</si>
  <si>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</si>
  <si>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</si>
  <si>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</si>
  <si>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</si>
  <si>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</si>
  <si>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</si>
  <si>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</si>
  <si>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</si>
  <si>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</si>
  <si>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</si>
  <si>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</si>
  <si>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</si>
  <si>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</si>
  <si>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</si>
  <si>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</si>
  <si>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</si>
  <si>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</si>
  <si>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</si>
  <si>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</si>
  <si>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</si>
  <si>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</si>
  <si>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</si>
  <si>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</si>
  <si>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</si>
  <si>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</si>
  <si>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</si>
  <si>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</si>
  <si>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</si>
  <si>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</si>
  <si>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</si>
  <si>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</si>
  <si>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</si>
  <si>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</si>
  <si>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</si>
  <si>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</si>
  <si>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</si>
  <si>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</si>
  <si>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</si>
  <si>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</si>
  <si>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</si>
  <si>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</si>
  <si>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</si>
  <si>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</si>
  <si>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</si>
  <si>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</si>
  <si>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</si>
  <si>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</si>
  <si>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</si>
  <si>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</si>
  <si>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</si>
  <si>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</si>
  <si>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</si>
  <si>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</si>
  <si>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</si>
  <si>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</si>
  <si>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</si>
  <si>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</si>
  <si>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</si>
  <si>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</si>
  <si>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</si>
  <si>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</si>
  <si>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</si>
  <si>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</si>
  <si>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</si>
  <si>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</si>
  <si>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</si>
  <si>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</si>
  <si>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</si>
  <si>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</si>
  <si>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</si>
  <si>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</si>
  <si>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</si>
  <si>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</si>
  <si>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</si>
  <si>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</si>
  <si>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</si>
  <si>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</si>
  <si>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</si>
  <si>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</si>
  <si>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</si>
  <si>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</si>
  <si>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</si>
  <si>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</si>
  <si>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</si>
  <si>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</si>
  <si>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</si>
  <si>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</si>
  <si>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</si>
  <si>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</si>
  <si>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</si>
  <si>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</si>
  <si>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</si>
  <si>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</si>
  <si>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</si>
  <si>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</si>
  <si>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</si>
  <si>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</si>
  <si>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</si>
  <si>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</si>
  <si>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</si>
  <si>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</si>
  <si>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</si>
  <si>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</si>
  <si>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</si>
  <si>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</si>
  <si>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</si>
  <si>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</si>
  <si>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</si>
  <si>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</si>
  <si>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</si>
  <si>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</si>
  <si>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</si>
  <si>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</si>
  <si>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</si>
  <si>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</si>
  <si>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</si>
  <si>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</si>
  <si>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</si>
  <si>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</si>
  <si>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</si>
  <si>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</si>
  <si>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</si>
  <si>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</si>
  <si>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</si>
  <si>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</si>
  <si>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</si>
  <si>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</si>
  <si>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</si>
  <si>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</si>
  <si>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</si>
  <si>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</si>
  <si>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</si>
  <si>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</si>
  <si>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</si>
  <si>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</si>
  <si>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</si>
  <si>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</si>
  <si>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</si>
  <si>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</si>
  <si>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</si>
  <si>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</si>
  <si>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</si>
  <si>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</si>
  <si>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</si>
  <si>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</si>
  <si>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</si>
  <si>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</si>
  <si>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</si>
  <si>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</si>
  <si>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</si>
  <si>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</si>
  <si>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</si>
  <si>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</si>
  <si>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</si>
  <si>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</si>
  <si>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</si>
  <si>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</si>
  <si>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</si>
  <si>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</si>
  <si>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</si>
  <si>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</si>
  <si>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</si>
  <si>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</si>
  <si>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</si>
  <si>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</si>
  <si>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</si>
  <si>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</si>
  <si>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</si>
  <si>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</si>
  <si>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</si>
  <si>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</si>
  <si>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</si>
  <si>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</si>
  <si>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</si>
  <si>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</si>
  <si>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</si>
  <si>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</si>
  <si>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</si>
  <si>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</si>
  <si>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</si>
  <si>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</si>
  <si>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</si>
  <si>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</si>
  <si>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</si>
  <si>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</si>
  <si>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</si>
  <si>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</si>
  <si>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</si>
  <si>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</si>
  <si>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</si>
  <si>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</si>
  <si>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</si>
  <si>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</si>
  <si>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</si>
  <si>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</si>
  <si>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</si>
  <si>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</si>
  <si>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</si>
  <si>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</si>
  <si>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</si>
  <si>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</si>
  <si>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</si>
  <si>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</si>
  <si>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</si>
  <si>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</si>
  <si>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</si>
  <si>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</si>
  <si>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</si>
  <si>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</si>
  <si>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</si>
  <si>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</si>
  <si>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</si>
  <si>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</si>
  <si>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</si>
  <si>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</si>
  <si>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</si>
  <si>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</si>
  <si>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</si>
  <si>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</si>
  <si>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</si>
  <si>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</si>
  <si>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</si>
  <si>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</si>
  <si>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</si>
  <si>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</si>
  <si>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</si>
  <si>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</si>
  <si>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</si>
  <si>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</si>
  <si>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</si>
  <si>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</si>
  <si>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</si>
  <si>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</si>
  <si>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</si>
  <si>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</si>
  <si>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</si>
  <si>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</si>
  <si>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</si>
  <si>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</si>
  <si>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</si>
  <si>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</si>
  <si>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</si>
  <si>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</si>
  <si>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</si>
  <si>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</si>
  <si>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</si>
  <si>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</si>
  <si>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</si>
  <si>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</si>
  <si>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</si>
  <si>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</si>
  <si>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</si>
  <si>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</si>
  <si>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</si>
  <si>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</si>
  <si>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</si>
  <si>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</si>
  <si>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</si>
  <si>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</si>
  <si>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</si>
  <si>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</si>
  <si>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</si>
  <si>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</si>
  <si>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</si>
  <si>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</si>
  <si>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</si>
  <si>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</si>
  <si>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</si>
  <si>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</si>
  <si>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</si>
  <si>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</si>
  <si>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</si>
  <si>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</si>
  <si>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</si>
  <si>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</si>
  <si>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</si>
  <si>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</si>
  <si>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</si>
  <si>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</si>
  <si>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</si>
  <si>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</si>
  <si>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</si>
  <si>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</si>
  <si>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</si>
  <si>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</si>
  <si>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</si>
  <si>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</si>
  <si>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</si>
  <si>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</si>
  <si>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</si>
  <si>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</si>
  <si>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</si>
  <si>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</si>
  <si>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</si>
  <si>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</si>
  <si>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</si>
  <si>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</si>
  <si>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</si>
  <si>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</si>
  <si>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</si>
  <si>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</si>
  <si>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</si>
  <si>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</si>
  <si>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</si>
  <si>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</si>
  <si>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</si>
  <si>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</si>
  <si>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</si>
  <si>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</si>
  <si>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</si>
  <si>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</si>
  <si>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</si>
  <si>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</si>
  <si>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</si>
  <si>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</si>
  <si>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</si>
  <si>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</si>
  <si>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</si>
  <si>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</si>
  <si>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</si>
  <si>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</si>
  <si>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</si>
  <si>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</si>
  <si>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</si>
  <si>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</si>
  <si>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</si>
  <si>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</si>
  <si>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</si>
  <si>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</si>
  <si>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</si>
  <si>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</si>
  <si>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</si>
  <si>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</si>
  <si>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</si>
  <si>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</si>
  <si>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</si>
  <si>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</si>
  <si>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</si>
  <si>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</si>
  <si>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</si>
  <si>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</si>
  <si>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</si>
  <si>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</si>
  <si>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</si>
  <si>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</si>
  <si>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</si>
  <si>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</si>
  <si>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</si>
  <si>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</si>
  <si>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</si>
  <si>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</si>
  <si>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</si>
  <si>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</si>
  <si>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</si>
  <si>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</si>
  <si>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</si>
  <si>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</si>
  <si>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</si>
  <si>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</si>
  <si>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</si>
  <si>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</si>
  <si>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</si>
  <si>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</si>
  <si>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</si>
  <si>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</si>
  <si>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</si>
  <si>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</si>
  <si>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</si>
  <si>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</si>
  <si>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</si>
  <si>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</si>
  <si>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</si>
  <si>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</si>
  <si>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</si>
  <si>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</si>
  <si>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</si>
  <si>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</si>
  <si>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</si>
  <si>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</si>
  <si>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</si>
  <si>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</si>
  <si>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</si>
  <si>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</si>
  <si>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</si>
  <si>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</si>
  <si>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</si>
  <si>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</si>
  <si>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</si>
  <si>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</si>
  <si>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</si>
  <si>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</si>
  <si>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</si>
  <si>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</si>
  <si>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</si>
  <si>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</si>
  <si>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</si>
  <si>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</si>
  <si>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</si>
  <si>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</si>
  <si>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</si>
  <si>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</si>
  <si>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</si>
  <si>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</si>
  <si>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</si>
  <si>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</si>
  <si>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</si>
  <si>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</si>
  <si>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</si>
  <si>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</si>
  <si>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</si>
  <si>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</si>
  <si>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</si>
  <si>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</si>
  <si>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</si>
  <si>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</si>
  <si>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</si>
  <si>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</si>
  <si>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</si>
  <si>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</si>
  <si>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</si>
  <si>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</si>
  <si>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</si>
  <si>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</si>
  <si>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</si>
  <si>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</si>
  <si>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</si>
  <si>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</si>
  <si>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</si>
  <si>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</si>
  <si>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</si>
  <si>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</si>
  <si>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</si>
  <si>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</si>
  <si>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</si>
  <si>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</si>
  <si>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</si>
  <si>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</si>
  <si>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</si>
  <si>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</si>
  <si>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</si>
  <si>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</si>
  <si>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</si>
  <si>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</si>
  <si>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</si>
  <si>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</si>
  <si>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</si>
  <si>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</si>
  <si>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</si>
  <si>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</si>
  <si>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</si>
  <si>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</si>
  <si>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</si>
  <si>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</si>
  <si>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</si>
  <si>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</si>
  <si>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</si>
  <si>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</si>
  <si>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</si>
  <si>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</si>
  <si>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</si>
  <si>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</si>
  <si>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</si>
  <si>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</si>
  <si>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</si>
  <si>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</si>
  <si>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</si>
  <si>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</si>
  <si>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</si>
  <si>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</si>
  <si>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</si>
  <si>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</si>
  <si>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</si>
  <si>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</si>
  <si>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</si>
  <si>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</si>
  <si>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</si>
  <si>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</si>
  <si>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</si>
  <si>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</si>
  <si>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</si>
  <si>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</si>
  <si>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</si>
  <si>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</si>
  <si>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</si>
  <si>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</si>
  <si>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</si>
  <si>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</si>
  <si>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</si>
  <si>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</si>
  <si>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</si>
  <si>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</si>
  <si>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</si>
  <si>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</si>
  <si>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</si>
  <si>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</si>
  <si>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</si>
  <si>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</si>
  <si>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</si>
  <si>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</si>
  <si>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</si>
  <si>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</si>
  <si>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</si>
  <si>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</si>
  <si>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</si>
  <si>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</si>
  <si>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</si>
  <si>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</si>
  <si>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</si>
  <si>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</si>
  <si>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</si>
  <si>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</si>
  <si>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</si>
  <si>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</si>
  <si>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</si>
  <si>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</si>
  <si>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</si>
  <si>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</si>
  <si>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</si>
  <si>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</si>
  <si>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</si>
  <si>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</si>
  <si>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</si>
  <si>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</si>
  <si>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</si>
  <si>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</si>
  <si>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</si>
  <si>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</si>
  <si>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</si>
  <si>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</si>
  <si>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</si>
  <si>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</si>
  <si>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</si>
  <si>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</si>
  <si>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</si>
  <si>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</si>
  <si>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</si>
  <si>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</si>
  <si>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</si>
  <si>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</si>
  <si>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</si>
  <si>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</si>
  <si>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</si>
  <si>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</si>
  <si>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</si>
  <si>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</si>
  <si>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</si>
  <si>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</si>
  <si>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</si>
  <si>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</si>
  <si>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</si>
  <si>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</si>
  <si>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</si>
  <si>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</si>
  <si>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</si>
  <si>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</si>
  <si>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</si>
  <si>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</si>
  <si>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</si>
  <si>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</si>
  <si>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</si>
  <si>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</si>
  <si>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</si>
  <si>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</si>
  <si>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</si>
  <si>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</si>
  <si>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</si>
  <si>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</si>
  <si>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</si>
  <si>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</si>
  <si>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</si>
  <si>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</si>
  <si>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</si>
  <si>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</si>
  <si>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</si>
  <si>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</si>
  <si>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</si>
  <si>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</si>
  <si>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</si>
  <si>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</si>
  <si>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</si>
  <si>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</si>
  <si>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</si>
  <si>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</si>
  <si>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</si>
  <si>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</si>
  <si>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</si>
  <si>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</si>
  <si>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</si>
  <si>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</si>
  <si>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</si>
  <si>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</si>
  <si>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</si>
  <si>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</si>
  <si>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</si>
  <si>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</si>
  <si>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</si>
  <si>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</si>
  <si>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</si>
  <si>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</si>
  <si>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</si>
  <si>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</si>
  <si>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</si>
  <si>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</si>
  <si>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</si>
  <si>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</si>
  <si>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</si>
  <si>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</si>
  <si>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</si>
  <si>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</si>
  <si>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</si>
  <si>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</si>
  <si>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</si>
  <si>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</si>
  <si>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</si>
  <si>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</si>
  <si>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</si>
  <si>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</si>
  <si>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</si>
  <si>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</si>
  <si>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</si>
  <si>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</si>
  <si>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</si>
  <si>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</si>
  <si>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</si>
  <si>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</si>
  <si>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</si>
  <si>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</si>
  <si>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</si>
  <si>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</si>
  <si>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</si>
  <si>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</si>
  <si>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</si>
  <si>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</si>
  <si>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</si>
  <si>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</si>
  <si>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</si>
  <si>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</si>
  <si>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</si>
  <si>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</si>
  <si>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</si>
  <si>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</si>
  <si>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</si>
  <si>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</si>
  <si>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</si>
  <si>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</si>
  <si>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</si>
  <si>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</si>
  <si>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</si>
  <si>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</si>
  <si>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</si>
  <si>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</si>
  <si>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</si>
  <si>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</si>
  <si>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</si>
  <si>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</si>
  <si>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</si>
  <si>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</si>
  <si>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</si>
  <si>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</si>
  <si>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</si>
  <si>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</si>
  <si>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</si>
  <si>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</si>
  <si>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</si>
  <si>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</si>
  <si>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</si>
  <si>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</si>
  <si>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</si>
  <si>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</si>
  <si>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</si>
  <si>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</si>
  <si>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</si>
  <si>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</si>
  <si>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</si>
  <si>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</si>
  <si>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</si>
  <si>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</si>
  <si>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</si>
  <si>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</si>
  <si>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</si>
  <si>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</si>
  <si>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</si>
  <si>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</si>
  <si>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</si>
  <si>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</si>
  <si>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</si>
  <si>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</si>
  <si>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</si>
  <si>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</si>
  <si>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</si>
  <si>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</si>
  <si>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</si>
  <si>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</si>
  <si>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</si>
  <si>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</si>
  <si>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</si>
  <si>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</si>
  <si>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</si>
  <si>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</si>
  <si>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</si>
  <si>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</si>
  <si>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</si>
  <si>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</si>
  <si>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</si>
  <si>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</si>
  <si>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</si>
  <si>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</si>
  <si>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</si>
  <si>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</si>
  <si>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</si>
  <si>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</si>
  <si>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</si>
  <si>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</si>
  <si>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</si>
  <si>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</si>
  <si>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</si>
  <si>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</si>
  <si>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</si>
  <si>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</si>
  <si>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</si>
  <si>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</si>
  <si>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</si>
  <si>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</si>
  <si>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</si>
  <si>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</si>
  <si>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</si>
  <si>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</si>
  <si>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</si>
  <si>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</si>
  <si>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</si>
  <si>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</si>
  <si>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</si>
  <si>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</si>
  <si>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</si>
  <si>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</si>
  <si>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</si>
  <si>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</si>
  <si>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</si>
  <si>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</si>
  <si>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</si>
  <si>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</si>
  <si>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</si>
  <si>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</si>
  <si>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</si>
  <si>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</si>
  <si>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</si>
  <si>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</si>
  <si>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</si>
  <si>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</si>
  <si>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</si>
  <si>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</si>
  <si>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</si>
  <si>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</si>
  <si>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</si>
  <si>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</si>
  <si>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</si>
  <si>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</si>
  <si>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</si>
  <si>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</si>
  <si>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</si>
  <si>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</si>
  <si>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</si>
  <si>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</si>
  <si>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</si>
  <si>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</si>
  <si>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</si>
  <si>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</si>
  <si>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</si>
  <si>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</si>
  <si>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</si>
  <si>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</si>
  <si>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</si>
  <si>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</si>
  <si>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</si>
  <si>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</si>
  <si>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</si>
  <si>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</si>
  <si>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</si>
  <si>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</si>
  <si>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</si>
  <si>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</si>
  <si>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</si>
  <si>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</si>
  <si>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</si>
  <si>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</si>
  <si>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</si>
  <si>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</si>
  <si>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</si>
  <si>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</si>
  <si>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</si>
  <si>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</si>
  <si>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</si>
  <si>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</si>
  <si>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</si>
  <si>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</si>
  <si>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</si>
  <si>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</si>
  <si>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</si>
  <si>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</si>
  <si>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</si>
  <si>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</si>
  <si>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</si>
  <si>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</si>
  <si>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</si>
  <si>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</si>
  <si>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</si>
  <si>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</si>
  <si>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</si>
  <si>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</si>
  <si>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</si>
  <si>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</si>
  <si>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</si>
  <si>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</si>
  <si>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</si>
  <si>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</si>
  <si>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</si>
  <si>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</si>
  <si>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</si>
  <si>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</si>
  <si>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</si>
  <si>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</si>
  <si>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</si>
  <si>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</si>
  <si>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</si>
  <si>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</si>
  <si>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</si>
  <si>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</si>
  <si>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</si>
  <si>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</si>
  <si>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</si>
  <si>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</si>
  <si>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</si>
  <si>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</si>
  <si>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</si>
  <si>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</si>
  <si>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</si>
  <si>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</si>
  <si>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</si>
  <si>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</si>
  <si>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</si>
  <si>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</si>
  <si>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</si>
  <si>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</si>
  <si>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</si>
  <si>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</si>
  <si>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</si>
  <si>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</si>
  <si>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</si>
  <si>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</si>
  <si>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</si>
  <si>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</si>
  <si>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</si>
  <si>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</si>
  <si>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</si>
  <si>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</si>
  <si>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</si>
  <si>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</si>
  <si>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</si>
  <si>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</si>
  <si>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</si>
  <si>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</si>
  <si>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</si>
  <si>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</si>
  <si>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</si>
  <si>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</si>
  <si>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</si>
  <si>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</si>
  <si>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</si>
  <si>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</si>
  <si>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</si>
  <si>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</si>
  <si>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</si>
  <si>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</si>
  <si>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</si>
  <si>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</si>
  <si>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</si>
  <si>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</si>
  <si>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</si>
  <si>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</si>
  <si>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</si>
  <si>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</si>
  <si>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</si>
  <si>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</si>
  <si>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</si>
  <si>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</si>
  <si>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</si>
  <si>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</si>
  <si>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</si>
  <si>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</si>
  <si>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</si>
  <si>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</si>
  <si>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</si>
  <si>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</si>
  <si>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</si>
  <si>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</si>
  <si>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</si>
  <si>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</si>
  <si>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</si>
  <si>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</si>
  <si>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</si>
  <si>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</si>
  <si>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</si>
  <si>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</si>
  <si>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</si>
  <si>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</si>
  <si>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</si>
  <si>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</si>
  <si>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</si>
  <si>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</si>
  <si>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</si>
  <si>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</si>
  <si>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</si>
  <si>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</si>
  <si>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</si>
  <si>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</si>
  <si>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</si>
  <si>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</si>
  <si>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</si>
  <si>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</si>
  <si>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</si>
  <si>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</si>
  <si>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</si>
  <si>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</si>
  <si>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</si>
  <si>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</si>
  <si>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</si>
  <si>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</si>
  <si>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</si>
  <si>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</si>
  <si>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</si>
  <si>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</si>
  <si>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</si>
  <si>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</si>
  <si>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</si>
  <si>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</si>
  <si>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</si>
  <si>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</si>
  <si>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</si>
  <si>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</si>
  <si>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</si>
  <si>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</si>
  <si>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</si>
  <si>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</si>
  <si>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</si>
  <si>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</si>
  <si>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</si>
  <si>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</si>
  <si>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</si>
  <si>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</si>
  <si>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</si>
  <si>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</si>
  <si>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</si>
  <si>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</si>
  <si>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</si>
  <si>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</si>
  <si>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</si>
  <si>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</si>
  <si>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</si>
  <si>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</si>
  <si>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</si>
  <si>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</si>
  <si>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</si>
  <si>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</si>
  <si>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</si>
  <si>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</si>
  <si>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</si>
  <si>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</si>
  <si>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</si>
  <si>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</si>
  <si>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</si>
  <si>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</si>
  <si>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</si>
  <si>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</si>
  <si>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</si>
  <si>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</si>
  <si>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</si>
  <si>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</si>
  <si>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</si>
  <si>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</si>
  <si>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</si>
  <si>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</si>
  <si>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</si>
  <si>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</si>
  <si>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</si>
  <si>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</si>
  <si>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</si>
  <si>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</si>
  <si>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</si>
  <si>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</si>
  <si>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</si>
  <si>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</si>
  <si>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</si>
  <si>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</si>
  <si>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</si>
  <si>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</si>
  <si>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</si>
  <si>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</si>
  <si>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</si>
  <si>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</si>
  <si>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</si>
  <si>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</si>
  <si>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</si>
  <si>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</si>
  <si>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</si>
  <si>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</si>
  <si>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</si>
  <si>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</si>
  <si>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</si>
  <si>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</si>
  <si>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</si>
  <si>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</si>
  <si>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</si>
  <si>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</si>
  <si>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</si>
  <si>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</si>
  <si>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</si>
  <si>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</si>
  <si>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</si>
  <si>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</si>
  <si>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</si>
  <si>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</si>
  <si>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</si>
  <si>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</si>
  <si>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</si>
  <si>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</si>
  <si>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</si>
  <si>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</si>
  <si>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</si>
  <si>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</si>
  <si>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</si>
  <si>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</si>
  <si>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</si>
  <si>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</si>
  <si>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</si>
  <si>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</si>
  <si>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</si>
  <si>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</si>
  <si>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</si>
  <si>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</si>
  <si>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</si>
  <si>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</si>
  <si>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</si>
  <si>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</si>
  <si>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</si>
  <si>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</si>
  <si>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</si>
  <si>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</si>
  <si>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</si>
  <si>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</si>
  <si>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</si>
  <si>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</si>
  <si>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</si>
  <si>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</si>
  <si>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</si>
  <si>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</si>
  <si>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</si>
  <si>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</si>
  <si>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</si>
  <si>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</si>
  <si>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</si>
  <si>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</si>
  <si>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</si>
  <si>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</si>
  <si>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</si>
  <si>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</si>
  <si>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</si>
  <si>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</si>
  <si>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</si>
  <si>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</si>
  <si>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</si>
  <si>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</si>
  <si>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</si>
  <si>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</si>
  <si>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</si>
  <si>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</si>
  <si>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</si>
  <si>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</si>
  <si>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</si>
  <si>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</si>
  <si>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</si>
  <si>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</si>
  <si>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</si>
  <si>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</si>
  <si>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</si>
  <si>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</si>
  <si>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</si>
  <si>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</si>
  <si>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</si>
  <si>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</si>
  <si>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</si>
  <si>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</si>
  <si>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</si>
  <si>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</si>
  <si>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</si>
  <si>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</si>
  <si>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</si>
  <si>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</si>
  <si>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</si>
  <si>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</si>
  <si>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</si>
  <si>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</si>
  <si>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</si>
  <si>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</si>
  <si>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</si>
  <si>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</si>
  <si>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</si>
  <si>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</si>
  <si>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</si>
  <si>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</si>
  <si>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</si>
  <si>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</si>
  <si>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</si>
  <si>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</si>
  <si>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</si>
  <si>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</si>
  <si>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</si>
  <si>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</si>
  <si>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</si>
  <si>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</si>
  <si>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</si>
  <si>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</si>
  <si>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</si>
  <si>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</si>
  <si>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</si>
  <si>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</si>
  <si>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</si>
  <si>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</si>
  <si>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</si>
  <si>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</si>
  <si>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</si>
  <si>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</si>
  <si>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</si>
  <si>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</si>
  <si>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</si>
  <si>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</si>
  <si>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</si>
  <si>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</si>
  <si>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</si>
  <si>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</si>
  <si>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</si>
  <si>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</si>
  <si>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</si>
  <si>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</si>
  <si>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</si>
  <si>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</si>
  <si>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</si>
  <si>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</si>
  <si>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</si>
  <si>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</si>
  <si>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</si>
  <si>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</si>
  <si>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</si>
  <si>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</si>
  <si>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</si>
  <si>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</si>
  <si>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</si>
  <si>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</si>
  <si>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</si>
  <si>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</si>
  <si>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</si>
  <si>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</si>
  <si>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</si>
  <si>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</si>
  <si>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</si>
  <si>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</si>
  <si>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</si>
  <si>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</si>
  <si>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</si>
  <si>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</si>
  <si>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</si>
  <si>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</si>
  <si>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</si>
  <si>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</si>
  <si>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</si>
  <si>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</si>
  <si>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</si>
  <si>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</si>
  <si>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</si>
  <si>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</si>
  <si>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</si>
  <si>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</si>
  <si>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</si>
  <si>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</si>
  <si>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</si>
  <si>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</si>
  <si>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</si>
  <si>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</si>
  <si>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</si>
  <si>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</si>
  <si>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</si>
  <si>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</si>
  <si>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</si>
  <si>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</si>
  <si>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</si>
  <si>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</si>
  <si>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</si>
  <si>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</si>
  <si>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</si>
  <si>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</si>
  <si>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</si>
  <si>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</si>
  <si>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</si>
  <si>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</si>
  <si>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</si>
  <si>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</si>
  <si>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</si>
  <si>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</si>
  <si>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</si>
  <si>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</si>
  <si>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</si>
  <si>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</si>
  <si>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</si>
  <si>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</si>
  <si>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</si>
  <si>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</si>
  <si>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</si>
  <si>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</si>
  <si>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</si>
  <si>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</si>
  <si>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</si>
  <si>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</si>
  <si>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</si>
  <si>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</si>
  <si>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</si>
  <si>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</si>
  <si>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</si>
  <si>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</si>
  <si>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</si>
  <si>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</si>
  <si>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</si>
  <si>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</si>
  <si>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</si>
  <si>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</si>
  <si>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</si>
  <si>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</si>
  <si>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</si>
  <si>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</si>
  <si>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</si>
  <si>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</si>
  <si>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</si>
  <si>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</si>
  <si>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</si>
  <si>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</si>
  <si>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</si>
  <si>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</si>
  <si>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</si>
  <si>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</si>
  <si>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</si>
  <si>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</si>
  <si>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</si>
  <si>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</si>
  <si>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</si>
  <si>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</si>
  <si>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</si>
  <si>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</si>
  <si>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</si>
  <si>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</si>
  <si>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</si>
  <si>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</si>
  <si>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</si>
  <si>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</si>
  <si>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</si>
  <si>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</si>
  <si>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</si>
  <si>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</si>
  <si>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</si>
  <si>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</si>
  <si>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</si>
  <si>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</si>
  <si>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</si>
  <si>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</si>
  <si>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</si>
  <si>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</si>
  <si>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</si>
  <si>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</si>
  <si>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</si>
  <si>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</si>
  <si>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</si>
  <si>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</si>
  <si>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</si>
  <si>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</si>
  <si>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</si>
  <si>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</si>
  <si>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</si>
  <si>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</si>
  <si>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</si>
  <si>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</si>
  <si>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</si>
  <si>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</si>
  <si>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</si>
  <si>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</si>
  <si>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</si>
  <si>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</si>
  <si>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</si>
  <si>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</si>
  <si>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</si>
  <si>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</si>
  <si>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</si>
  <si>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</si>
  <si>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</si>
  <si>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</si>
  <si>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</si>
  <si>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</si>
  <si>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</si>
  <si>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</si>
  <si>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</si>
  <si>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</si>
  <si>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</si>
  <si>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</si>
  <si>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</si>
  <si>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</si>
  <si>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</si>
  <si>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</si>
  <si>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</si>
  <si>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</si>
  <si>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</si>
  <si>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</si>
  <si>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</si>
  <si>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</si>
  <si>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</si>
  <si>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</si>
  <si>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</si>
  <si>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</si>
  <si>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</si>
  <si>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</si>
  <si>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</si>
  <si>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</si>
  <si>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</si>
  <si>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</si>
  <si>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</si>
  <si>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</si>
  <si>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</si>
  <si>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</si>
  <si>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</si>
  <si>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</si>
  <si>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</si>
  <si>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</si>
  <si>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</si>
  <si>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</si>
  <si>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</si>
  <si>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</si>
  <si>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</si>
  <si>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</si>
  <si>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</si>
  <si>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</si>
  <si>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</si>
  <si>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</si>
  <si>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</si>
  <si>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</si>
  <si>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</si>
  <si>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</si>
  <si>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</si>
  <si>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</si>
  <si>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</si>
  <si>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</si>
  <si>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</si>
  <si>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</si>
  <si>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</si>
  <si>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</si>
  <si>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</si>
  <si>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</si>
  <si>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</si>
  <si>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</si>
  <si>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</si>
  <si>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</si>
  <si>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</si>
  <si>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</si>
  <si>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</si>
  <si>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</si>
  <si>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</si>
  <si>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</si>
  <si>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</si>
  <si>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</si>
  <si>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</si>
  <si>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</si>
  <si>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</si>
  <si>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</si>
  <si>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</si>
  <si>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</si>
  <si>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</si>
  <si>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</si>
  <si>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</si>
  <si>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</si>
  <si>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</si>
  <si>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</si>
  <si>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</si>
  <si>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</si>
  <si>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</si>
  <si>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</si>
  <si>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</si>
  <si>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</si>
  <si>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</si>
  <si>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</si>
  <si>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</si>
  <si>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</si>
  <si>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</si>
  <si>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</si>
  <si>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</si>
  <si>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</si>
  <si>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</si>
  <si>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</si>
  <si>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</si>
  <si>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</si>
  <si>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</si>
  <si>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</si>
  <si>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</si>
  <si>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</si>
  <si>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</si>
  <si>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</si>
  <si>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</si>
  <si>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</si>
  <si>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</si>
  <si>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</si>
  <si>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</si>
  <si>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</si>
  <si>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</si>
  <si>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</si>
  <si>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</si>
  <si>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</si>
  <si>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</si>
  <si>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</si>
  <si>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</si>
  <si>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</si>
  <si>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</si>
  <si>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</si>
  <si>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</si>
  <si>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</si>
  <si>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</si>
  <si>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</si>
  <si>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</si>
  <si>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</si>
  <si>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</si>
  <si>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</si>
  <si>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</si>
  <si>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</si>
  <si>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</si>
  <si>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</si>
  <si>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</si>
  <si>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</si>
  <si>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</si>
  <si>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</si>
  <si>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</si>
  <si>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</si>
  <si>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</si>
  <si>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</si>
  <si>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</si>
  <si>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</si>
  <si>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</si>
  <si>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</si>
  <si>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</si>
  <si>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</si>
  <si>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</si>
  <si>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</si>
  <si>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</si>
  <si>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</si>
  <si>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</si>
  <si>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</si>
  <si>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</si>
  <si>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</si>
  <si>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</si>
  <si>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</si>
  <si>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</si>
  <si>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</si>
  <si>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</si>
  <si>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</si>
  <si>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</si>
  <si>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</si>
  <si>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</si>
  <si>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</si>
  <si>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</si>
  <si>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</si>
  <si>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</si>
  <si>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</si>
  <si>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</si>
  <si>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</si>
  <si>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</si>
  <si>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</si>
  <si>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</si>
  <si>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</si>
  <si>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</si>
  <si>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</si>
  <si>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</si>
  <si>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</si>
  <si>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</si>
  <si>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</si>
  <si>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</si>
  <si>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</si>
  <si>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</si>
  <si>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</si>
  <si>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</si>
  <si>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</si>
  <si>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</si>
  <si>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</si>
  <si>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</si>
  <si>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</si>
  <si>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</si>
  <si>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</si>
  <si>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</si>
  <si>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</si>
  <si>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</si>
  <si>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</si>
  <si>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</si>
  <si>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</si>
  <si>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</si>
  <si>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</si>
  <si>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</si>
  <si>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</si>
  <si>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</si>
  <si>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</si>
  <si>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</si>
  <si>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</si>
  <si>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</si>
  <si>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</si>
  <si>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</si>
  <si>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</si>
  <si>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</si>
  <si>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</si>
  <si>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</si>
  <si>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</si>
  <si>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</si>
  <si>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</si>
  <si>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</si>
  <si>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</si>
  <si>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</si>
  <si>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</si>
  <si>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</si>
  <si>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</si>
  <si>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</si>
  <si>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</si>
  <si>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</si>
  <si>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</si>
  <si>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</si>
  <si>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</si>
  <si>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</si>
  <si>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</si>
  <si>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</si>
  <si>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</si>
  <si>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</si>
  <si>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</si>
  <si>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</si>
  <si>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</si>
  <si>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</si>
  <si>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</si>
  <si>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</si>
  <si>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</si>
  <si>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</si>
  <si>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</si>
  <si>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</si>
  <si>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</si>
  <si>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</si>
  <si>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</si>
  <si>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</si>
  <si>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</si>
  <si>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</si>
  <si>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</si>
  <si>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</si>
  <si>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</si>
  <si>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</si>
  <si>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</si>
  <si>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</si>
  <si>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</si>
  <si>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</si>
  <si>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</si>
  <si>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</si>
  <si>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</si>
  <si>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</si>
  <si>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</si>
  <si>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</si>
  <si>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</si>
  <si>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</si>
  <si>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</si>
  <si>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</si>
  <si>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</si>
  <si>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</si>
  <si>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</si>
  <si>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</si>
  <si>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</si>
  <si>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</si>
  <si>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</si>
  <si>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</si>
  <si>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</si>
  <si>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</si>
  <si>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</si>
  <si>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</si>
  <si>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</si>
  <si>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</si>
  <si>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</si>
  <si>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</si>
  <si>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</si>
  <si>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</si>
  <si>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</si>
  <si>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</si>
  <si>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</si>
  <si>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</si>
  <si>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</si>
  <si>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</si>
  <si>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</si>
  <si>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</si>
  <si>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</si>
  <si>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</si>
  <si>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</si>
  <si>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</si>
  <si>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</si>
  <si>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</si>
  <si>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</si>
  <si>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</si>
  <si>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</si>
  <si>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</si>
  <si>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</si>
  <si>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</si>
  <si>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</si>
  <si>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</si>
  <si>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</si>
  <si>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</si>
  <si>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</si>
  <si>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</si>
  <si>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</si>
  <si>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</si>
  <si>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</si>
  <si>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</si>
  <si>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</si>
  <si>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</si>
  <si>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</si>
  <si>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</si>
  <si>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</si>
  <si>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</si>
  <si>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</si>
  <si>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</si>
  <si>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</si>
  <si>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</si>
  <si>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</si>
  <si>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</si>
  <si>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</si>
  <si>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</si>
  <si>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</si>
  <si>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</si>
  <si>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</si>
  <si>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</si>
  <si>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</si>
  <si>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</si>
  <si>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</si>
  <si>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</si>
  <si>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</si>
  <si>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</si>
  <si>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</si>
  <si>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</si>
  <si>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</si>
  <si>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</si>
  <si>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</si>
  <si>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</si>
  <si>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</si>
  <si>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</si>
  <si>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</si>
  <si>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</si>
  <si>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</si>
  <si>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</si>
  <si>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</si>
  <si>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</si>
  <si>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</si>
  <si>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</si>
  <si>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</si>
  <si>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</si>
  <si>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</si>
  <si>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</si>
  <si>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</si>
  <si>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</si>
  <si>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</si>
  <si>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</si>
  <si>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</si>
  <si>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</si>
  <si>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</si>
  <si>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</si>
  <si>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</si>
  <si>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</si>
  <si>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</si>
  <si>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</si>
  <si>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</si>
  <si>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</si>
  <si>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</si>
  <si>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</si>
  <si>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</si>
  <si>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</si>
  <si>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</si>
  <si>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</si>
  <si>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</si>
  <si>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</si>
  <si>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</si>
  <si>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</si>
  <si>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</si>
  <si>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</si>
  <si>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</si>
  <si>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</si>
  <si>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</si>
  <si>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</si>
  <si>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</si>
  <si>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</si>
  <si>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</si>
  <si>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</si>
  <si>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</si>
  <si>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</si>
  <si>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</si>
  <si>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</si>
  <si>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</si>
  <si>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</si>
  <si>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</si>
  <si>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</si>
  <si>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</si>
  <si>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</si>
  <si>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</si>
  <si>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</si>
  <si>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</si>
  <si>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</si>
  <si>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</si>
  <si>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</si>
  <si>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</si>
  <si>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</si>
  <si>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</si>
  <si>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</si>
  <si>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</si>
  <si>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</si>
  <si>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</si>
  <si>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</si>
  <si>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</si>
  <si>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</si>
  <si>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</si>
  <si>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</si>
  <si>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</si>
  <si>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</si>
  <si>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</si>
  <si>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</si>
  <si>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</si>
  <si>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</si>
  <si>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</si>
  <si>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</si>
  <si>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</si>
  <si>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</si>
  <si>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</si>
  <si>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</si>
  <si>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</si>
  <si>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</si>
  <si>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</si>
  <si>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</si>
  <si>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</si>
  <si>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</si>
  <si>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</si>
  <si>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</si>
  <si>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</si>
  <si>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</si>
  <si>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</si>
  <si>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</si>
  <si>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</si>
  <si>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</si>
  <si>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</si>
  <si>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</si>
  <si>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</si>
  <si>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</si>
  <si>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</si>
  <si>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</si>
  <si>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</si>
  <si>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</si>
  <si>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</si>
  <si>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</si>
  <si>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</si>
  <si>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</si>
  <si>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</si>
  <si>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</si>
  <si>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</si>
  <si>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</si>
  <si>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</si>
  <si>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</si>
  <si>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</si>
  <si>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</si>
  <si>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</si>
  <si>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</si>
  <si>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</si>
  <si>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</si>
  <si>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</si>
  <si>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</si>
  <si>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</si>
  <si>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</si>
  <si>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</si>
  <si>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</si>
  <si>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</si>
  <si>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</si>
  <si>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</si>
  <si>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</si>
  <si>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</si>
  <si>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</si>
  <si>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</si>
  <si>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</si>
  <si>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</si>
  <si>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</si>
  <si>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</si>
  <si>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</si>
  <si>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</si>
  <si>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</si>
  <si>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</si>
  <si>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</si>
  <si>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</si>
  <si>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</si>
  <si>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</si>
  <si>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</si>
  <si>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</si>
  <si>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</si>
  <si>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</si>
  <si>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</si>
  <si>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</si>
  <si>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</si>
  <si>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</si>
  <si>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</si>
  <si>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</si>
  <si>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</si>
  <si>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</si>
  <si>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</si>
  <si>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</si>
  <si>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</si>
  <si>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</si>
  <si>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</si>
  <si>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</si>
  <si>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</si>
  <si>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</si>
  <si>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</si>
  <si>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</si>
  <si>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</si>
  <si>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</si>
  <si>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</si>
  <si>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</si>
  <si>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</si>
  <si>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</si>
  <si>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</si>
  <si>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</si>
  <si>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</si>
  <si>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</si>
  <si>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</si>
  <si>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</si>
  <si>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</si>
  <si>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</si>
  <si>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</si>
  <si>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</si>
  <si>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</si>
  <si>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</si>
  <si>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</si>
  <si>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</si>
  <si>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</si>
  <si>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</si>
  <si>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</si>
  <si>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</si>
  <si>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</si>
  <si>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</si>
  <si>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</si>
  <si>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</si>
  <si>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</si>
  <si>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</si>
  <si>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</si>
  <si>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</si>
  <si>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</si>
  <si>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</si>
  <si>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</si>
  <si>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</si>
  <si>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</si>
  <si>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</si>
  <si>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</si>
  <si>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</si>
  <si>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</si>
  <si>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</si>
  <si>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</si>
  <si>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</si>
  <si>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</si>
  <si>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</si>
  <si>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</si>
  <si>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</si>
  <si>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</si>
  <si>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</si>
  <si>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</si>
  <si>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</si>
  <si>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</si>
  <si>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</si>
  <si>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</si>
  <si>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</si>
  <si>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</si>
  <si>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</si>
  <si>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</si>
  <si>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</si>
  <si>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</si>
  <si>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</si>
  <si>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</si>
  <si>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</si>
  <si>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</si>
  <si>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</si>
  <si>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</si>
  <si>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</si>
  <si>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</si>
  <si>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</si>
  <si>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</si>
  <si>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</si>
  <si>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</si>
  <si>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</si>
  <si>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</si>
  <si>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</si>
  <si>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</si>
  <si>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</si>
  <si>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</si>
  <si>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</si>
  <si>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</si>
  <si>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</si>
  <si>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</si>
  <si>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</si>
  <si>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</si>
  <si>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</si>
  <si>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</si>
  <si>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</si>
  <si>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</si>
  <si>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</si>
  <si>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</si>
  <si>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</si>
  <si>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</si>
  <si>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</si>
  <si>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</si>
  <si>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</si>
  <si>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</si>
  <si>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</si>
  <si>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</si>
  <si>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</si>
  <si>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</si>
  <si>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</si>
  <si>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</si>
  <si>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</si>
  <si>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</si>
  <si>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</si>
  <si>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</si>
  <si>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</si>
  <si>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</si>
  <si>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</si>
  <si>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</si>
  <si>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</si>
  <si>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</si>
  <si>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</si>
  <si>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</si>
  <si>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</si>
  <si>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</si>
  <si>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</si>
  <si>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</si>
  <si>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</si>
  <si>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</si>
  <si>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</si>
  <si>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</si>
  <si>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</si>
  <si>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</si>
  <si>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</si>
  <si>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</si>
  <si>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</si>
  <si>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</si>
  <si>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</si>
  <si>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</si>
  <si>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</si>
  <si>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</si>
  <si>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</si>
  <si>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</si>
  <si>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</si>
  <si>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</si>
  <si>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</si>
  <si>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</si>
  <si>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</si>
  <si>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</si>
  <si>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</si>
  <si>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</si>
  <si>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</si>
  <si>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</si>
  <si>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</si>
  <si>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</si>
  <si>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</si>
  <si>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</si>
  <si>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</si>
  <si>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</si>
  <si>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</si>
  <si>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</si>
  <si>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</si>
  <si>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</si>
  <si>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</si>
  <si>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</si>
  <si>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</si>
  <si>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</si>
  <si>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</si>
  <si>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</si>
  <si>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</si>
  <si>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</si>
  <si>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</si>
  <si>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</si>
  <si>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</si>
  <si>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</si>
  <si>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</si>
  <si>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</si>
  <si>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</si>
  <si>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</si>
  <si>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</si>
  <si>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</si>
  <si>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</si>
  <si>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</si>
  <si>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</si>
  <si>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</si>
  <si>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</si>
  <si>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</si>
  <si>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</si>
  <si>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</si>
  <si>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</si>
  <si>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</si>
  <si>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</si>
  <si>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</si>
  <si>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</si>
  <si>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</si>
  <si>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</si>
  <si>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</si>
  <si>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</si>
  <si>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</si>
  <si>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</si>
  <si>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</si>
  <si>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</si>
  <si>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</si>
  <si>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</si>
  <si>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</si>
  <si>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</si>
  <si>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</si>
  <si>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</si>
  <si>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</si>
  <si>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</si>
  <si>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</si>
  <si>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</si>
  <si>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</si>
  <si>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</si>
  <si>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</si>
  <si>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</si>
  <si>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</si>
  <si>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</si>
  <si>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</si>
  <si>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</si>
  <si>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</si>
  <si>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</si>
  <si>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</si>
  <si>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</si>
  <si>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</si>
  <si>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</si>
  <si>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</si>
  <si>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</si>
  <si>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</si>
  <si>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</si>
  <si>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</si>
  <si>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</si>
  <si>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</si>
  <si>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</si>
  <si>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</si>
  <si>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</si>
  <si>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</si>
  <si>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</si>
  <si>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</si>
  <si>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</si>
  <si>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</si>
  <si>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</si>
  <si>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</si>
  <si>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</si>
  <si>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</si>
  <si>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</si>
  <si>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</si>
  <si>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</si>
  <si>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</si>
  <si>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</si>
  <si>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</si>
  <si>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</si>
  <si>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</si>
  <si>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</si>
  <si>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</si>
  <si>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</si>
  <si>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</si>
  <si>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</si>
  <si>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</si>
  <si>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</si>
  <si>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</si>
  <si>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</si>
  <si>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</si>
  <si>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</si>
  <si>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</si>
  <si>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</si>
  <si>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</si>
  <si>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</si>
  <si>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</si>
  <si>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</si>
  <si>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</si>
  <si>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</si>
  <si>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</si>
  <si>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</si>
  <si>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</si>
  <si>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</si>
  <si>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</si>
  <si>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</si>
  <si>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</si>
  <si>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</si>
  <si>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</si>
  <si>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</si>
  <si>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</si>
  <si>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</si>
  <si>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</si>
  <si>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</si>
  <si>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</si>
  <si>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</si>
  <si>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</si>
  <si>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</si>
  <si>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</si>
  <si>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</si>
  <si>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</si>
  <si>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</si>
  <si>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</si>
  <si>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</si>
  <si>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</si>
  <si>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</si>
  <si>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</si>
  <si>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</si>
  <si>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</si>
  <si>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</si>
  <si>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</si>
  <si>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</si>
  <si>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</si>
  <si>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</si>
  <si>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</si>
  <si>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</si>
  <si>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</si>
  <si>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</si>
  <si>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</si>
  <si>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</si>
  <si>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</si>
  <si>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</si>
  <si>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</si>
  <si>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</si>
  <si>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</si>
  <si>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</si>
  <si>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</si>
  <si>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</si>
  <si>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</si>
  <si>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</si>
  <si>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</si>
  <si>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</si>
  <si>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</si>
  <si>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</si>
  <si>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</si>
  <si>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</si>
  <si>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</si>
  <si>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</si>
  <si>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</si>
  <si>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</si>
  <si>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</si>
  <si>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</si>
  <si>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</si>
  <si>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</si>
  <si>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</si>
  <si>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</si>
  <si>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</si>
  <si>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</si>
  <si>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</si>
  <si>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</si>
  <si>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</si>
  <si>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</si>
  <si>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</si>
  <si>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</si>
  <si>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</si>
  <si>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</si>
  <si>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</si>
  <si>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</si>
  <si>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</si>
  <si>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</si>
  <si>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</si>
  <si>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</si>
  <si>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</si>
  <si>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</si>
  <si>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</si>
  <si>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</si>
  <si>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</si>
  <si>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</si>
  <si>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</si>
  <si>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</si>
  <si>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</si>
  <si>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</si>
  <si>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</si>
  <si>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</si>
  <si>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</si>
  <si>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</si>
  <si>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</si>
  <si>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</si>
  <si>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</si>
  <si>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</si>
  <si>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</si>
  <si>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</si>
  <si>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</si>
  <si>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</si>
  <si>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</si>
  <si>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</si>
  <si>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</si>
  <si>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</si>
  <si>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</si>
  <si>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</si>
  <si>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</si>
  <si>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</si>
  <si>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</si>
  <si>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</si>
  <si>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</si>
  <si>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</si>
  <si>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</si>
  <si>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</si>
  <si>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</si>
  <si>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</si>
  <si>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</si>
  <si>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</si>
  <si>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</si>
  <si>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</si>
  <si>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</si>
  <si>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</si>
  <si>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</si>
  <si>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</si>
  <si>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</si>
  <si>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</si>
  <si>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</si>
  <si>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</si>
  <si>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</si>
  <si>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</si>
  <si>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</si>
  <si>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</si>
  <si>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</si>
  <si>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</si>
  <si>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</si>
  <si>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</si>
  <si>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</si>
  <si>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</si>
  <si>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</si>
  <si>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</si>
  <si>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</si>
  <si>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</si>
  <si>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</si>
  <si>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</si>
  <si>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</si>
  <si>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</si>
  <si>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</si>
  <si>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</si>
  <si>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</si>
  <si>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</si>
  <si>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</si>
  <si>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</si>
  <si>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</si>
  <si>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</si>
  <si>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</si>
  <si>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</si>
  <si>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</si>
  <si>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</si>
  <si>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</si>
  <si>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</si>
  <si>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</si>
  <si>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</si>
  <si>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</si>
  <si>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</si>
  <si>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</si>
  <si>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</si>
  <si>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</si>
  <si>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</si>
  <si>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</si>
  <si>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</si>
  <si>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</si>
  <si>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</si>
  <si>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</si>
  <si>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</si>
  <si>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</si>
  <si>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</si>
  <si>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</si>
  <si>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</si>
  <si>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</si>
  <si>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</si>
  <si>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</si>
  <si>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</si>
  <si>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</si>
  <si>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</si>
  <si>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</si>
  <si>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</si>
  <si>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</si>
  <si>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</si>
  <si>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</si>
  <si>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</si>
  <si>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</si>
  <si>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</si>
  <si>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</si>
  <si>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</si>
  <si>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</si>
  <si>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</si>
  <si>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</si>
  <si>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</si>
  <si>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</si>
  <si>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</si>
  <si>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</si>
  <si>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</si>
  <si>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</si>
  <si>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</si>
  <si>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</si>
  <si>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</si>
  <si>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</si>
  <si>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</si>
  <si>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</si>
  <si>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</si>
  <si>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</si>
  <si>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</si>
  <si>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</si>
  <si>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</si>
  <si>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</si>
  <si>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</si>
  <si>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</si>
  <si>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</si>
  <si>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</si>
  <si>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</si>
  <si>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</si>
  <si>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</si>
  <si>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</si>
  <si>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</si>
  <si>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</si>
  <si>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</si>
  <si>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</si>
  <si>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</si>
  <si>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</si>
  <si>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</si>
  <si>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</si>
  <si>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</si>
  <si>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</si>
  <si>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</si>
  <si>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</si>
  <si>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</si>
  <si>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</si>
  <si>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</si>
  <si>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</si>
  <si>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</si>
  <si>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</si>
  <si>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</si>
  <si>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</si>
  <si>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</si>
  <si>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</si>
  <si>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</si>
  <si>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</si>
  <si>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</si>
  <si>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</si>
  <si>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</si>
  <si>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</si>
  <si>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</si>
  <si>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</si>
  <si>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</si>
  <si>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</si>
  <si>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</si>
  <si>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</si>
  <si>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</si>
  <si>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</si>
  <si>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</si>
  <si>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</si>
  <si>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</si>
  <si>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</si>
  <si>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</si>
  <si>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</si>
  <si>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</si>
  <si>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</si>
  <si>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</si>
  <si>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</si>
  <si>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</si>
  <si>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</si>
  <si>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</si>
  <si>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</si>
  <si>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</si>
  <si>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</si>
  <si>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</si>
  <si>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</si>
  <si>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</si>
  <si>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</si>
  <si>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</si>
  <si>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</si>
  <si>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</si>
  <si>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</si>
  <si>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</si>
  <si>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</si>
  <si>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</si>
  <si>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</si>
  <si>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</si>
  <si>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</si>
  <si>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</si>
  <si>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</si>
  <si>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</si>
  <si>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</si>
  <si>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</si>
  <si>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</si>
  <si>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</si>
  <si>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</si>
  <si>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</si>
  <si>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</si>
  <si>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</si>
  <si>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</si>
  <si>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</si>
  <si>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</si>
  <si>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</si>
  <si>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</si>
  <si>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</si>
  <si>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</si>
  <si>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</si>
  <si>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</si>
  <si>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</si>
  <si>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</si>
  <si>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</si>
  <si>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</si>
  <si>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</si>
  <si>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</si>
  <si>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</si>
  <si>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</si>
  <si>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</si>
  <si>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</si>
  <si>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</si>
  <si>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</si>
  <si>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</si>
  <si>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</si>
  <si>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</si>
  <si>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</si>
  <si>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</si>
  <si>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</si>
  <si>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</si>
  <si>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</si>
  <si>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</si>
  <si>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</si>
  <si>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</si>
  <si>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</si>
  <si>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</si>
  <si>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</si>
  <si>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</si>
  <si>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</si>
  <si>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</si>
  <si>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</si>
  <si>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</si>
  <si>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</si>
  <si>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</si>
  <si>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</si>
  <si>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</si>
  <si>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</si>
  <si>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</si>
  <si>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</si>
  <si>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</si>
  <si>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</si>
  <si>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</si>
  <si>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</si>
  <si>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</si>
  <si>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</si>
  <si>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</si>
  <si>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</si>
  <si>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</si>
  <si>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</si>
  <si>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</si>
  <si>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</si>
  <si>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</si>
  <si>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</si>
  <si>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</si>
  <si>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</si>
  <si>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</si>
  <si>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</si>
  <si>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</si>
  <si>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</si>
  <si>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</si>
  <si>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</si>
  <si>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</si>
  <si>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</si>
  <si>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</si>
  <si>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</si>
  <si>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</si>
  <si>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</si>
  <si>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</si>
  <si>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</si>
  <si>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</si>
  <si>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</si>
  <si>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</si>
  <si>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</si>
  <si>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</si>
  <si>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</si>
  <si>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</si>
  <si>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</si>
  <si>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</si>
  <si>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</si>
  <si>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</si>
  <si>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</si>
  <si>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</si>
  <si>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</si>
  <si>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</si>
  <si>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</si>
  <si>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</si>
  <si>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</si>
  <si>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</si>
  <si>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</si>
  <si>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</si>
  <si>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</si>
  <si>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</si>
  <si>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</si>
  <si>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</si>
  <si>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</si>
  <si>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</si>
  <si>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</si>
  <si>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</si>
  <si>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</si>
  <si>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</si>
  <si>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</si>
  <si>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</si>
  <si>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</si>
  <si>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</si>
  <si>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</si>
  <si>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</si>
  <si>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</si>
  <si>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</si>
  <si>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</si>
  <si>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</si>
  <si>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</si>
  <si>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</si>
  <si>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</si>
  <si>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</si>
  <si>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</si>
  <si>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</si>
  <si>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</si>
  <si>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</si>
  <si>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</si>
  <si>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</si>
  <si>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</si>
  <si>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</si>
  <si>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</si>
  <si>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</si>
  <si>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</si>
  <si>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</si>
  <si>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</si>
  <si>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</si>
  <si>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</si>
  <si>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</si>
  <si>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</si>
  <si>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</si>
  <si>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</si>
  <si>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</si>
  <si>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</si>
  <si>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</si>
  <si>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</si>
  <si>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</si>
  <si>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</si>
  <si>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</si>
  <si>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</si>
  <si>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</si>
  <si>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</si>
  <si>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</si>
  <si>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</si>
  <si>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</si>
  <si>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</si>
  <si>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</si>
  <si>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</si>
  <si>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</si>
  <si>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</si>
  <si>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</si>
  <si>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</si>
  <si>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</si>
  <si>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</si>
  <si>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</si>
  <si>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</si>
  <si>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</si>
  <si>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</si>
  <si>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</si>
  <si>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</si>
  <si>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</si>
  <si>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</si>
  <si>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</si>
  <si>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</si>
  <si>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</si>
  <si>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</si>
  <si>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</si>
  <si>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</si>
  <si>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</si>
  <si>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</si>
  <si>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</si>
  <si>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</si>
  <si>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</si>
  <si>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</si>
  <si>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</si>
  <si>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</si>
  <si>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</si>
  <si>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</si>
  <si>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</si>
  <si>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</si>
  <si>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</si>
  <si>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</si>
  <si>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</si>
  <si>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</si>
  <si>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</si>
  <si>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</si>
  <si>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</si>
  <si>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</si>
  <si>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</si>
  <si>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</si>
  <si>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</si>
  <si>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</si>
  <si>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</si>
  <si>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</si>
  <si>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</si>
  <si>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</si>
  <si>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</si>
  <si>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</si>
  <si>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</si>
  <si>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</si>
  <si>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</si>
  <si>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</si>
  <si>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</si>
  <si>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</si>
  <si>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</si>
  <si>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</si>
  <si>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</si>
  <si>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</si>
  <si>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</si>
  <si>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</si>
  <si>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</si>
  <si>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</si>
  <si>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</si>
  <si>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</si>
  <si>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</si>
  <si>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</si>
  <si>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</si>
  <si>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</si>
  <si>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</si>
  <si>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</si>
  <si>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</si>
  <si>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</si>
  <si>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</si>
  <si>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</si>
  <si>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</si>
  <si>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</si>
  <si>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</si>
  <si>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</si>
  <si>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</si>
  <si>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</si>
  <si>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</si>
  <si>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</si>
  <si>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</si>
  <si>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</si>
  <si>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</si>
  <si>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</si>
  <si>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</si>
  <si>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</si>
  <si>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</si>
  <si>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</si>
  <si>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</si>
  <si>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</si>
  <si>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</si>
  <si>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</si>
  <si>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</si>
  <si>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</si>
  <si>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</si>
  <si>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</si>
  <si>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</si>
  <si>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</si>
  <si>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</si>
  <si>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</si>
  <si>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</si>
  <si>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</si>
  <si>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</si>
  <si>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</si>
  <si>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</si>
  <si>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</si>
  <si>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</si>
  <si>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</si>
  <si>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</si>
  <si>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</si>
  <si>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</si>
  <si>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</si>
  <si>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</si>
  <si>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</si>
  <si>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</si>
  <si>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</si>
  <si>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</si>
  <si>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</si>
  <si>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</si>
  <si>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</si>
  <si>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</si>
  <si>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</si>
  <si>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</si>
  <si>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</si>
  <si>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</si>
  <si>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</si>
  <si>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</si>
  <si>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</si>
  <si>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</si>
  <si>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</si>
  <si>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</si>
  <si>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</si>
  <si>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</si>
  <si>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</si>
  <si>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</si>
  <si>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</si>
  <si>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</si>
  <si>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</si>
  <si>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</si>
  <si>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</si>
  <si>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</si>
  <si>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</si>
  <si>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</si>
  <si>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</si>
  <si>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</si>
  <si>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</si>
  <si>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</si>
  <si>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</si>
  <si>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</si>
  <si>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</si>
  <si>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</si>
  <si>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</si>
  <si>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</si>
  <si>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</si>
  <si>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</si>
  <si>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</si>
  <si>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</si>
  <si>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</si>
  <si>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</si>
  <si>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</si>
  <si>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</si>
  <si>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</si>
  <si>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</si>
  <si>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</si>
  <si>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</si>
  <si>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</si>
  <si>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</si>
  <si>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</si>
  <si>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</si>
  <si>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</si>
  <si>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</si>
  <si>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</si>
  <si>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</si>
  <si>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</si>
  <si>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</si>
  <si>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</si>
  <si>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</si>
  <si>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</si>
  <si>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</si>
  <si>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</si>
  <si>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</si>
  <si>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</si>
  <si>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</si>
  <si>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</si>
  <si>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</si>
  <si>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</si>
  <si>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</si>
  <si>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</si>
  <si>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</si>
  <si>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</si>
  <si>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</si>
  <si>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</si>
  <si>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</si>
  <si>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</si>
  <si>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</si>
  <si>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</si>
  <si>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</si>
  <si>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</si>
  <si>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</si>
  <si>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</si>
  <si>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</si>
  <si>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</si>
  <si>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</si>
  <si>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</si>
  <si>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</si>
  <si>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</si>
  <si>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</si>
  <si>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</si>
  <si>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</si>
  <si>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</si>
  <si>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</si>
  <si>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</si>
  <si>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</si>
  <si>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</si>
  <si>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</si>
  <si>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</si>
  <si>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</si>
  <si>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</si>
  <si>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</si>
  <si>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</si>
  <si>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</si>
  <si>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</si>
  <si>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</si>
  <si>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</si>
  <si>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</si>
  <si>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</si>
  <si>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</si>
  <si>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</si>
  <si>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</si>
  <si>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</si>
  <si>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</si>
  <si>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</si>
  <si>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</si>
  <si>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</si>
  <si>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</si>
  <si>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</si>
  <si>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</si>
  <si>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</si>
  <si>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</si>
  <si>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</si>
  <si>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</si>
  <si>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</si>
  <si>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</si>
  <si>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</si>
  <si>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</si>
  <si>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</si>
  <si>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</si>
  <si>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</si>
  <si>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</si>
  <si>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</si>
  <si>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</si>
  <si>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</si>
  <si>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</si>
  <si>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</si>
  <si>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</si>
  <si>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</si>
  <si>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</si>
  <si>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</si>
  <si>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</si>
  <si>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</si>
  <si>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</si>
  <si>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</si>
  <si>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</si>
  <si>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</si>
  <si>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</si>
  <si>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</si>
  <si>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</si>
  <si>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</si>
  <si>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</si>
  <si>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</si>
  <si>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</si>
  <si>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</si>
  <si>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</si>
  <si>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</si>
  <si>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</si>
  <si>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</si>
  <si>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</si>
  <si>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</si>
  <si>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</si>
  <si>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</si>
  <si>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</si>
  <si>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</si>
  <si>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</si>
  <si>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</si>
  <si>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</si>
  <si>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</si>
  <si>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</si>
  <si>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</si>
  <si>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</si>
  <si>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</si>
  <si>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</si>
  <si>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</si>
  <si>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</si>
  <si>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</si>
  <si>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</si>
  <si>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</si>
  <si>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</si>
  <si>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</si>
  <si>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</si>
  <si>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</si>
  <si>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</si>
  <si>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</si>
  <si>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</si>
  <si>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</si>
  <si>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</si>
  <si>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</si>
  <si>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</si>
  <si>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</si>
  <si>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</si>
  <si>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</si>
  <si>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</si>
  <si>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</si>
  <si>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</si>
  <si>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</si>
  <si>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</si>
  <si>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</si>
  <si>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</si>
  <si>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</si>
  <si>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</si>
  <si>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</si>
  <si>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</si>
  <si>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</si>
  <si>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</si>
  <si>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</si>
  <si>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</si>
  <si>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</si>
  <si>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</si>
  <si>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</si>
  <si>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</si>
  <si>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</si>
  <si>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</si>
  <si>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</si>
  <si>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</si>
  <si>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</si>
  <si>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</si>
  <si>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</si>
  <si>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</si>
  <si>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</si>
  <si>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</si>
  <si>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</si>
  <si>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</si>
  <si>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</si>
  <si>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</si>
  <si>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</si>
  <si>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</si>
  <si>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</si>
  <si>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</si>
  <si>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</si>
  <si>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</si>
  <si>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</si>
  <si>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</si>
  <si>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</si>
  <si>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</si>
  <si>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</si>
  <si>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</si>
  <si>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</si>
  <si>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</si>
  <si>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</si>
  <si>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</si>
  <si>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</si>
  <si>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</si>
  <si>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</si>
  <si>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</si>
  <si>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</si>
  <si>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</si>
  <si>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</si>
  <si>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</si>
  <si>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</si>
  <si>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</si>
  <si>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</si>
  <si>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</si>
  <si>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</si>
  <si>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</si>
  <si>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</si>
  <si>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</si>
  <si>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</si>
  <si>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</si>
  <si>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</si>
  <si>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</si>
  <si>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</si>
  <si>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</si>
  <si>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</si>
  <si>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</si>
  <si>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</si>
  <si>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</si>
  <si>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</si>
  <si>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</si>
  <si>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</si>
  <si>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</si>
  <si>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</si>
  <si>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</si>
  <si>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</si>
  <si>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</si>
  <si>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</si>
  <si>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</si>
  <si>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</si>
  <si>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</si>
  <si>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</si>
  <si>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</si>
  <si>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</si>
  <si>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</si>
  <si>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</si>
  <si>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</si>
  <si>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</si>
  <si>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</si>
  <si>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</si>
  <si>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</si>
  <si>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</si>
  <si>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</si>
  <si>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</si>
  <si>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</si>
  <si>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</si>
  <si>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</si>
  <si>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</si>
  <si>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</si>
  <si>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</si>
  <si>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</si>
  <si>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</si>
  <si>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</si>
  <si>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</si>
  <si>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</si>
  <si>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</si>
  <si>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</si>
  <si>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</si>
  <si>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</si>
  <si>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</si>
  <si>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</si>
  <si>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</si>
  <si>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</si>
  <si>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</si>
  <si>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</si>
  <si>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</si>
  <si>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</si>
  <si>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</si>
  <si>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</si>
  <si>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</si>
  <si>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</si>
  <si>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</si>
  <si>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</si>
  <si>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</si>
  <si>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</si>
  <si>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</si>
  <si>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</si>
  <si>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</si>
  <si>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</si>
  <si>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</si>
  <si>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</si>
  <si>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</si>
  <si>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</si>
  <si>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</si>
  <si>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</si>
  <si>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</si>
  <si>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</si>
  <si>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</si>
  <si>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</si>
  <si>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</si>
  <si>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</si>
  <si>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</si>
  <si>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</si>
  <si>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</si>
  <si>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</si>
  <si>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</si>
  <si>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</si>
  <si>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</si>
  <si>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</si>
  <si>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</si>
  <si>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</si>
  <si>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</si>
  <si>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</si>
  <si>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</si>
  <si>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</si>
  <si>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</si>
  <si>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</si>
  <si>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</si>
  <si>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</si>
  <si>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</si>
  <si>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</si>
  <si>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</si>
  <si>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</si>
  <si>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</si>
  <si>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</si>
  <si>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</si>
  <si>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</si>
  <si>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</si>
  <si>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</si>
  <si>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</si>
  <si>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</si>
  <si>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</si>
  <si>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</si>
  <si>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</si>
  <si>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</si>
  <si>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</si>
  <si>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</si>
  <si>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</si>
  <si>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</si>
  <si>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</si>
  <si>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</si>
  <si>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</si>
  <si>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</si>
  <si>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</si>
  <si>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</si>
  <si>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</si>
  <si>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</si>
  <si>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</si>
  <si>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</si>
  <si>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</si>
  <si>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</si>
  <si>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</si>
  <si>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</si>
  <si>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</si>
  <si>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</si>
  <si>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</si>
  <si>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</si>
  <si>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</si>
  <si>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</si>
  <si>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</si>
  <si>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</si>
  <si>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</si>
  <si>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</si>
  <si>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</si>
  <si>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</si>
  <si>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</si>
  <si>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</si>
  <si>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</si>
  <si>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</si>
  <si>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</si>
  <si>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</si>
  <si>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</si>
  <si>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</si>
  <si>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</si>
  <si>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</si>
  <si>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</si>
  <si>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</si>
  <si>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</si>
  <si>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</si>
  <si>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</si>
  <si>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</si>
  <si>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</si>
  <si>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</si>
  <si>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</si>
  <si>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</si>
  <si>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</si>
  <si>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</si>
  <si>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</si>
  <si>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</si>
  <si>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</si>
  <si>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</si>
  <si>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</si>
  <si>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</si>
  <si>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</si>
  <si>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</si>
  <si>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</si>
  <si>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</si>
  <si>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</si>
  <si>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</si>
  <si>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</si>
  <si>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</si>
  <si>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</si>
  <si>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</si>
  <si>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</si>
  <si>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</si>
  <si>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</si>
  <si>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</si>
  <si>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</si>
  <si>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</si>
  <si>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</si>
  <si>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</si>
  <si>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</si>
  <si>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</si>
  <si>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</si>
  <si>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</si>
  <si>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</si>
  <si>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</si>
  <si>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</si>
  <si>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</si>
  <si>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</si>
  <si>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</si>
  <si>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</si>
  <si>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</si>
  <si>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</si>
  <si>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</si>
  <si>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</si>
  <si>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</si>
  <si>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</si>
  <si>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</si>
  <si>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</si>
  <si>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</si>
  <si>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</si>
  <si>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</si>
  <si>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</si>
  <si>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</si>
  <si>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</si>
  <si>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</si>
  <si>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</si>
  <si>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</si>
  <si>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</si>
  <si>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</si>
  <si>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</si>
  <si>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</si>
  <si>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</si>
  <si>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</si>
  <si>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</si>
  <si>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</si>
  <si>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</si>
  <si>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</si>
  <si>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</si>
  <si>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</si>
  <si>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</si>
  <si>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</si>
  <si>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</si>
  <si>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</si>
  <si>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</si>
  <si>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</si>
  <si>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</si>
  <si>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</si>
  <si>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</si>
  <si>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</si>
  <si>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</si>
  <si>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</si>
  <si>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</si>
  <si>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</si>
  <si>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</si>
  <si>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</si>
  <si>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</si>
  <si>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</si>
  <si>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</si>
  <si>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</si>
  <si>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</si>
  <si>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</si>
  <si>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</si>
  <si>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</si>
  <si>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</si>
  <si>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</si>
  <si>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</si>
  <si>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</si>
  <si>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</si>
  <si>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</si>
  <si>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</si>
  <si>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</si>
  <si>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</si>
  <si>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</si>
  <si>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</si>
  <si>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</si>
  <si>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</si>
  <si>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</si>
  <si>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</si>
  <si>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</si>
  <si>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</si>
  <si>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</si>
  <si>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</si>
  <si>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</si>
  <si>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</si>
  <si>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</si>
  <si>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</si>
  <si>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</si>
  <si>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</si>
  <si>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</si>
  <si>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</si>
  <si>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</si>
  <si>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</si>
  <si>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</si>
  <si>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</si>
  <si>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</si>
  <si>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</si>
  <si>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</si>
  <si>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</si>
  <si>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</si>
  <si>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</si>
  <si>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</si>
  <si>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</si>
  <si>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</si>
  <si>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</si>
  <si>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</si>
  <si>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</si>
  <si>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</si>
  <si>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</si>
  <si>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</si>
  <si>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</si>
  <si>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</si>
  <si>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</si>
  <si>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</si>
  <si>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</si>
  <si>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</si>
  <si>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</si>
  <si>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</si>
  <si>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</si>
  <si>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</si>
  <si>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</si>
  <si>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</si>
  <si>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</si>
  <si>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</si>
  <si>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</si>
  <si>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</si>
  <si>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</si>
  <si>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</si>
  <si>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</si>
  <si>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</si>
  <si>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</si>
  <si>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</si>
  <si>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</si>
  <si>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</si>
  <si>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</si>
  <si>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</si>
  <si>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</si>
  <si>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</si>
  <si>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</si>
  <si>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</si>
  <si>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</si>
  <si>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</si>
  <si>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</si>
  <si>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</si>
  <si>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</si>
  <si>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</si>
  <si>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</si>
  <si>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</si>
  <si>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</si>
  <si>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</si>
  <si>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</si>
  <si>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</si>
  <si>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</si>
  <si>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</si>
  <si>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</si>
  <si>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</si>
  <si>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</si>
  <si>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</si>
  <si>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</si>
  <si>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</si>
  <si>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</si>
  <si>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</si>
  <si>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</si>
  <si>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</si>
  <si>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</si>
  <si>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</si>
  <si>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</si>
  <si>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</si>
  <si>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</si>
  <si>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</si>
  <si>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</si>
  <si>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</si>
  <si>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</si>
  <si>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</si>
  <si>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</si>
  <si>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</si>
  <si>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</si>
  <si>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</si>
  <si>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</si>
  <si>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</si>
  <si>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</si>
  <si>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</si>
  <si>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</si>
  <si>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</si>
  <si>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</si>
  <si>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</si>
  <si>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</si>
  <si>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</si>
  <si>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</si>
  <si>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</si>
  <si>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</si>
  <si>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</si>
  <si>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</si>
  <si>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</si>
  <si>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</si>
  <si>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</si>
  <si>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</si>
  <si>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</si>
  <si>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</si>
  <si>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</si>
  <si>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</si>
  <si>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</si>
  <si>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</si>
  <si>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</si>
  <si>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</si>
  <si>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</si>
  <si>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</si>
  <si>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</si>
  <si>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</si>
  <si>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</si>
  <si>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</si>
  <si>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</si>
  <si>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</si>
  <si>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</si>
  <si>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</si>
  <si>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</si>
  <si>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</si>
  <si>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</si>
  <si>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</si>
  <si>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</si>
  <si>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</si>
  <si>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</si>
  <si>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</si>
  <si>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</si>
  <si>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</si>
  <si>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</si>
  <si>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</si>
  <si>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</si>
  <si>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</si>
  <si>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</si>
  <si>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</si>
  <si>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</si>
  <si>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</si>
  <si>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</si>
  <si>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</si>
  <si>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</si>
  <si>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</si>
  <si>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</si>
  <si>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</si>
  <si>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</si>
  <si>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</si>
  <si>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</si>
  <si>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</si>
  <si>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</si>
  <si>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</si>
  <si>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</si>
  <si>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</si>
  <si>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</si>
  <si>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</si>
  <si>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</si>
  <si>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</si>
  <si>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</si>
  <si>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</si>
  <si>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</si>
  <si>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</si>
  <si>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</si>
  <si>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</si>
  <si>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</si>
  <si>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</si>
  <si>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</si>
  <si>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</si>
  <si>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</si>
  <si>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</si>
  <si>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</si>
  <si>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</si>
  <si>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</si>
  <si>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</si>
  <si>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</si>
  <si>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</si>
  <si>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</si>
  <si>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</si>
  <si>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</si>
  <si>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</si>
  <si>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</si>
  <si>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</si>
  <si>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</si>
  <si>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</si>
  <si>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</si>
  <si>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</si>
  <si>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</si>
  <si>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</si>
  <si>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</si>
  <si>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</si>
  <si>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</si>
  <si>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</si>
  <si>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</si>
  <si>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</si>
  <si>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</si>
  <si>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</si>
  <si>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</si>
  <si>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</si>
  <si>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</si>
  <si>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</si>
  <si>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</si>
  <si>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</si>
  <si>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</si>
  <si>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</si>
  <si>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</si>
  <si>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</si>
  <si>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</si>
  <si>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</si>
  <si>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</si>
  <si>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</si>
  <si>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</si>
  <si>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</si>
  <si>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</si>
  <si>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</si>
  <si>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</si>
  <si>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</si>
  <si>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</si>
  <si>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</si>
  <si>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</si>
  <si>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</si>
  <si>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</si>
  <si>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</si>
  <si>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</si>
  <si>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</si>
  <si>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</si>
  <si>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</si>
  <si>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</si>
  <si>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</si>
  <si>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</si>
  <si>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</si>
  <si>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</si>
  <si>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</si>
  <si>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</si>
  <si>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</si>
  <si>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</si>
  <si>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</si>
  <si>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</si>
  <si>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</si>
  <si>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</si>
  <si>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</si>
  <si>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</si>
  <si>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</si>
  <si>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</si>
  <si>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</si>
  <si>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</si>
  <si>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</si>
  <si>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</si>
  <si>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</si>
  <si>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</si>
  <si>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</si>
  <si>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</si>
  <si>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</si>
  <si>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</si>
  <si>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</si>
  <si>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</si>
  <si>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</si>
  <si>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</si>
  <si>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</si>
  <si>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</si>
  <si>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</si>
  <si>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</si>
  <si>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</si>
  <si>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</si>
  <si>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</si>
  <si>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</si>
  <si>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</si>
  <si>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</si>
  <si>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</si>
  <si>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</si>
  <si>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</si>
  <si>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</si>
  <si>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</si>
  <si>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</si>
  <si>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</si>
  <si>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</si>
  <si>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</si>
  <si>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</si>
  <si>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</si>
  <si>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</si>
  <si>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</si>
  <si>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</si>
  <si>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</si>
  <si>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</si>
  <si>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</si>
  <si>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</si>
  <si>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</si>
  <si>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</si>
  <si>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</si>
  <si>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</si>
  <si>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</si>
  <si>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</si>
  <si>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</si>
  <si>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</si>
  <si>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</si>
  <si>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</si>
  <si>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</si>
  <si>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</si>
  <si>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</si>
  <si>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</si>
  <si>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</si>
  <si>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</si>
  <si>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</si>
  <si>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</si>
  <si>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</si>
  <si>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</si>
  <si>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</si>
  <si>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</si>
  <si>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</si>
  <si>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</si>
  <si>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</si>
  <si>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</si>
  <si>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</si>
  <si>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</si>
  <si>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</si>
  <si>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</si>
  <si>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</si>
  <si>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</si>
  <si>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</si>
  <si>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</si>
  <si>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</si>
  <si>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</si>
  <si>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</si>
  <si>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</si>
  <si>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</si>
  <si>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</si>
  <si>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</si>
  <si>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</si>
  <si>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</si>
  <si>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</si>
  <si>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</si>
  <si>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</si>
  <si>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</si>
  <si>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</si>
  <si>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</si>
  <si>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</si>
  <si>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</si>
  <si>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</si>
  <si>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</si>
  <si>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</si>
  <si>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</si>
  <si>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</si>
  <si>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</si>
  <si>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</si>
  <si>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</si>
  <si>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</si>
  <si>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</si>
  <si>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</si>
  <si>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</si>
  <si>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</si>
  <si>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</si>
  <si>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</si>
  <si>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</si>
  <si>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</si>
  <si>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</si>
  <si>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</si>
  <si>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</si>
  <si>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</si>
  <si>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</si>
  <si>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</si>
  <si>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</si>
  <si>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</si>
  <si>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</si>
  <si>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</si>
  <si>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</si>
  <si>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</si>
  <si>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</si>
  <si>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</si>
  <si>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</si>
  <si>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</si>
  <si>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</si>
  <si>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</si>
  <si>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</si>
  <si>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</si>
  <si>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</si>
  <si>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</si>
  <si>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</si>
  <si>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</si>
  <si>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</si>
  <si>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</si>
  <si>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</si>
  <si>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</si>
  <si>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</si>
  <si>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</si>
  <si>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</si>
  <si>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</si>
  <si>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</si>
  <si>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</si>
  <si>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</si>
  <si>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</si>
  <si>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</si>
  <si>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</si>
  <si>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</si>
  <si>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</si>
  <si>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</si>
  <si>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</si>
  <si>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</si>
  <si>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</si>
  <si>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</si>
  <si>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</si>
  <si>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</si>
  <si>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</si>
  <si>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</si>
  <si>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</si>
  <si>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</si>
  <si>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</si>
  <si>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</si>
  <si>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</si>
  <si>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</si>
  <si>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</si>
  <si>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</si>
  <si>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</si>
  <si>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</si>
  <si>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</si>
  <si>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</si>
  <si>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</si>
  <si>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</si>
  <si>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</si>
  <si>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</si>
  <si>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</si>
  <si>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</si>
  <si>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</si>
  <si>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</si>
  <si>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</si>
  <si>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</si>
  <si>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</si>
  <si>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</si>
  <si>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</si>
  <si>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</si>
  <si>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</si>
  <si>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</si>
  <si>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</si>
  <si>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</si>
  <si>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</si>
  <si>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</si>
  <si>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</si>
  <si>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</si>
  <si>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</si>
  <si>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</si>
  <si>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</si>
  <si>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</si>
  <si>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</si>
  <si>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</si>
  <si>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</si>
  <si>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</si>
  <si>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</si>
  <si>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</si>
  <si>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</si>
  <si>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</si>
  <si>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</si>
  <si>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</si>
  <si>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</si>
  <si>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</si>
  <si>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</si>
  <si>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</si>
  <si>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</si>
  <si>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</si>
  <si>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</si>
  <si>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</si>
  <si>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</si>
  <si>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</si>
  <si>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</si>
  <si>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</si>
  <si>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</si>
  <si>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</si>
  <si>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</si>
  <si>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</si>
  <si>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</si>
  <si>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</si>
  <si>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</si>
  <si>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</si>
  <si>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</si>
  <si>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</si>
  <si>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</si>
  <si>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</si>
  <si>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</si>
  <si>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</si>
  <si>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</si>
  <si>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</si>
  <si>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</si>
  <si>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</si>
  <si>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</si>
  <si>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</si>
  <si>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</si>
  <si>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</si>
  <si>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</si>
  <si>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</si>
  <si>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</si>
  <si>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</si>
  <si>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</si>
  <si>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</si>
  <si>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</si>
  <si>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</si>
  <si>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</si>
  <si>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</si>
  <si>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</si>
  <si>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</si>
  <si>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</si>
  <si>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</si>
  <si>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</si>
  <si>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</si>
  <si>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</si>
  <si>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</si>
  <si>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</si>
  <si>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</si>
  <si>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</si>
  <si>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</si>
  <si>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</si>
  <si>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</si>
  <si>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</si>
  <si>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</si>
  <si>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</si>
  <si>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</si>
  <si>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</si>
  <si>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</si>
  <si>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</si>
  <si>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</si>
  <si>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</si>
  <si>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</si>
  <si>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</si>
  <si>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</si>
  <si>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</si>
  <si>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</si>
  <si>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</si>
  <si>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</si>
  <si>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</si>
  <si>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</si>
  <si>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</si>
  <si>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</si>
  <si>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</si>
  <si>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</si>
  <si>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</si>
  <si>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</si>
  <si>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</si>
  <si>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</si>
  <si>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</si>
  <si>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</si>
  <si>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</si>
  <si>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</si>
  <si>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</si>
  <si>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</si>
  <si>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</si>
  <si>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</si>
  <si>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</si>
  <si>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</si>
  <si>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</si>
  <si>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</si>
  <si>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</si>
  <si>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</si>
  <si>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</si>
  <si>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</si>
  <si>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</si>
  <si>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</si>
  <si>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</si>
  <si>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</si>
  <si>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</si>
  <si>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</si>
  <si>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</si>
  <si>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</si>
  <si>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</si>
  <si>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</si>
  <si>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</si>
  <si>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</si>
  <si>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</si>
  <si>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</si>
  <si>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</si>
  <si>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</si>
  <si>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</si>
  <si>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</si>
  <si>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</si>
  <si>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</si>
  <si>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</si>
  <si>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</si>
  <si>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</si>
  <si>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</si>
  <si>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</si>
  <si>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</si>
  <si>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</si>
  <si>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</si>
  <si>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</si>
  <si>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</si>
  <si>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</si>
  <si>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</si>
  <si>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</si>
  <si>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</si>
  <si>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</si>
  <si>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</si>
  <si>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</si>
  <si>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</si>
  <si>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</si>
  <si>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</si>
  <si>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</si>
  <si>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</si>
  <si>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</si>
  <si>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</si>
  <si>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</si>
  <si>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</si>
  <si>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</si>
  <si>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</si>
  <si>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</si>
  <si>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</si>
  <si>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</si>
  <si>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</si>
  <si>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</si>
  <si>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</si>
  <si>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</si>
  <si>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</si>
  <si>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</si>
  <si>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</si>
  <si>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</si>
  <si>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</si>
  <si>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</si>
  <si>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</si>
  <si>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</si>
  <si>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</si>
  <si>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</si>
  <si>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</si>
  <si>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</si>
  <si>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</si>
  <si>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</si>
  <si>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</si>
  <si>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</si>
  <si>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</si>
  <si>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</si>
  <si>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</si>
  <si>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</si>
  <si>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</si>
  <si>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</si>
  <si>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</si>
  <si>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</si>
  <si>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</si>
  <si>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</si>
  <si>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</si>
  <si>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</si>
  <si>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</si>
  <si>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</si>
  <si>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</si>
  <si>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</si>
  <si>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</si>
  <si>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</si>
  <si>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</si>
  <si>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</si>
  <si>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</si>
  <si>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</si>
  <si>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</si>
  <si>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</si>
  <si>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</si>
  <si>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</si>
  <si>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</si>
  <si>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</si>
  <si>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</si>
  <si>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</si>
  <si>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</si>
  <si>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</si>
  <si>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</si>
  <si>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</si>
  <si>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</si>
  <si>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</si>
  <si>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</si>
  <si>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</si>
  <si>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</si>
  <si>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</si>
  <si>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</si>
  <si>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</si>
  <si>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</si>
  <si>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</si>
  <si>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</si>
  <si>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</si>
  <si>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</si>
  <si>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</si>
  <si>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</si>
  <si>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</si>
  <si>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</si>
  <si>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</si>
  <si>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</si>
  <si>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</si>
  <si>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</si>
  <si>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</si>
  <si>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</si>
  <si>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</si>
  <si>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</si>
  <si>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</si>
  <si>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</si>
  <si>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</si>
  <si>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</si>
  <si>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</si>
  <si>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</si>
  <si>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</si>
  <si>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</si>
  <si>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</si>
  <si>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</si>
  <si>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</si>
  <si>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</si>
  <si>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</si>
  <si>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</si>
  <si>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</si>
  <si>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</si>
  <si>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</si>
  <si>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</si>
  <si>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</si>
  <si>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</si>
  <si>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</si>
  <si>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</si>
  <si>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</si>
  <si>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</si>
  <si>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</si>
  <si>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</si>
  <si>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</si>
  <si>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</si>
  <si>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</si>
  <si>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</si>
  <si>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</si>
  <si>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</si>
  <si>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</si>
  <si>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</si>
  <si>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</si>
  <si>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</si>
  <si>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</si>
  <si>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</si>
  <si>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</si>
  <si>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</si>
  <si>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</si>
  <si>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</si>
  <si>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</si>
  <si>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</si>
  <si>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</si>
  <si>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</si>
  <si>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</si>
  <si>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</si>
  <si>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</si>
  <si>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</si>
  <si>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</si>
  <si>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</si>
  <si>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</si>
  <si>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</si>
  <si>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</si>
  <si>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</si>
  <si>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</si>
  <si>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</si>
  <si>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</si>
  <si>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</si>
  <si>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</si>
  <si>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</si>
  <si>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</si>
  <si>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</si>
  <si>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</si>
  <si>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</si>
  <si>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</si>
  <si>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</si>
  <si>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</si>
  <si>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</si>
  <si>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</si>
  <si>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</si>
  <si>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</si>
  <si>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</si>
  <si>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</si>
  <si>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</si>
  <si>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</si>
  <si>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</si>
  <si>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</si>
  <si>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</si>
  <si>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</si>
  <si>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</si>
  <si>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</si>
  <si>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</si>
  <si>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</si>
  <si>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</si>
  <si>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</si>
  <si>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</si>
  <si>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</si>
  <si>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</si>
  <si>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</si>
  <si>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</si>
  <si>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</si>
  <si>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</si>
  <si>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</si>
  <si>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</si>
  <si>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</si>
  <si>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</si>
  <si>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</si>
  <si>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</si>
  <si>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</si>
  <si>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</si>
  <si>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</si>
  <si>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</si>
  <si>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</si>
  <si>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</si>
  <si>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</si>
  <si>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</si>
  <si>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</si>
  <si>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</si>
  <si>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</si>
  <si>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</si>
  <si>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</si>
  <si>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</si>
  <si>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</si>
  <si>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</si>
  <si>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</si>
  <si>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</si>
  <si>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</si>
  <si>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</si>
  <si>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</si>
  <si>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</si>
  <si>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</si>
  <si>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</si>
  <si>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</si>
  <si>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</si>
  <si>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</si>
  <si>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</si>
  <si>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</si>
  <si>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</si>
  <si>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</si>
  <si>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</si>
  <si>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</si>
  <si>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</si>
  <si>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</si>
  <si>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</si>
  <si>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</si>
  <si>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</si>
  <si>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</si>
  <si>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</si>
  <si>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</si>
  <si>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</si>
  <si>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</si>
  <si>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</si>
  <si>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</si>
  <si>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</si>
  <si>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</si>
  <si>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</si>
  <si>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</si>
  <si>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</si>
  <si>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</si>
  <si>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</si>
  <si>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</si>
  <si>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</si>
  <si>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</si>
  <si>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</si>
  <si>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</si>
  <si>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</si>
  <si>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</si>
  <si>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</si>
  <si>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</si>
  <si>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</si>
  <si>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</si>
  <si>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</si>
  <si>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</si>
  <si>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</si>
  <si>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</si>
  <si>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</si>
  <si>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</si>
  <si>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</si>
  <si>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</si>
  <si>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</si>
  <si>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</si>
  <si>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</si>
  <si>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</si>
  <si>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</si>
  <si>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</si>
  <si>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</si>
  <si>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</si>
  <si>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</si>
  <si>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</si>
  <si>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</si>
  <si>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</si>
  <si>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</si>
  <si>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</si>
  <si>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</si>
  <si>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</si>
  <si>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</si>
  <si>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</si>
  <si>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</si>
  <si>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</si>
  <si>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</si>
  <si>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</si>
  <si>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</si>
  <si>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</si>
  <si>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</si>
  <si>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</si>
  <si>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</si>
  <si>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</si>
  <si>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</si>
  <si>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</si>
  <si>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</si>
  <si>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</si>
  <si>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</si>
  <si>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</si>
  <si>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</si>
  <si>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</si>
  <si>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</si>
  <si>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</si>
  <si>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</si>
  <si>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</si>
  <si>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</si>
  <si>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</si>
  <si>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</si>
  <si>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</si>
  <si>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</si>
  <si>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</si>
  <si>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</si>
  <si>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</si>
  <si>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</si>
  <si>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</si>
  <si>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</si>
  <si>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</si>
  <si>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</si>
  <si>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</si>
  <si>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</si>
  <si>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</si>
  <si>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</si>
  <si>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</si>
  <si>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</si>
  <si>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</si>
  <si>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</si>
  <si>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</si>
  <si>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</si>
  <si>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</si>
  <si>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</si>
  <si>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</si>
  <si>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</si>
  <si>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</si>
  <si>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</si>
  <si>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</si>
  <si>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</si>
  <si>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</si>
  <si>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</si>
  <si>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</si>
  <si>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</si>
  <si>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</si>
  <si>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</si>
  <si>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</si>
  <si>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</si>
  <si>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</si>
  <si>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</si>
  <si>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</si>
  <si>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</si>
  <si>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</si>
  <si>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</si>
  <si>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</si>
  <si>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</si>
  <si>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</si>
  <si>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</si>
  <si>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</si>
  <si>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</si>
  <si>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</si>
  <si>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</si>
  <si>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</si>
  <si>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</si>
  <si>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</si>
  <si>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</si>
  <si>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</si>
  <si>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</si>
  <si>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</si>
  <si>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</si>
  <si>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</si>
  <si>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</si>
  <si>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</si>
  <si>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</si>
  <si>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</si>
  <si>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</si>
  <si>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</si>
  <si>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</si>
  <si>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</si>
  <si>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</si>
  <si>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</si>
  <si>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</si>
  <si>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</si>
  <si>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</si>
  <si>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</si>
  <si>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</si>
  <si>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</si>
  <si>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</si>
  <si>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</si>
  <si>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</si>
  <si>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</si>
  <si>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</si>
  <si>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</si>
  <si>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</si>
  <si>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</si>
  <si>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</si>
  <si>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</si>
  <si>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</si>
  <si>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</si>
  <si>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</si>
  <si>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</si>
  <si>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</si>
  <si>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</si>
  <si>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</si>
  <si>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</si>
  <si>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</si>
  <si>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</si>
  <si>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</si>
  <si>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</si>
  <si>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</si>
  <si>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</si>
  <si>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</si>
  <si>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</si>
  <si>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</si>
  <si>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</si>
  <si>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</si>
  <si>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</si>
  <si>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</si>
  <si>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</si>
  <si>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</si>
  <si>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</si>
  <si>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</si>
  <si>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</si>
  <si>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</si>
  <si>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</si>
  <si>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</si>
  <si>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</si>
  <si>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</si>
  <si>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</si>
  <si>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</si>
  <si>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</si>
  <si>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</si>
  <si>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</si>
  <si>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</si>
  <si>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</si>
  <si>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</si>
  <si>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</si>
  <si>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</si>
  <si>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</si>
  <si>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</si>
  <si>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</si>
  <si>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</si>
  <si>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</si>
  <si>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</si>
  <si>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</si>
  <si>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</si>
  <si>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</si>
  <si>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</si>
  <si>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</si>
  <si>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</si>
  <si>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</si>
  <si>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</si>
  <si>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</si>
  <si>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</si>
  <si>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</si>
  <si>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</si>
  <si>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</si>
  <si>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</si>
  <si>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</si>
  <si>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</si>
  <si>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</si>
  <si>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</si>
  <si>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</si>
  <si>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</si>
  <si>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</si>
  <si>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</si>
  <si>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</si>
  <si>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</si>
  <si>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</si>
  <si>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</si>
  <si>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</si>
  <si>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</si>
  <si>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</si>
  <si>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</si>
  <si>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</si>
  <si>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</si>
  <si>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</si>
  <si>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</si>
  <si>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</si>
  <si>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</si>
  <si>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</si>
  <si>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</si>
  <si>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</si>
  <si>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</si>
  <si>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</si>
  <si>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</si>
  <si>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</si>
  <si>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</si>
  <si>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</si>
  <si>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</si>
  <si>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</si>
  <si>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</si>
  <si>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</si>
  <si>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</si>
  <si>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</si>
  <si>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</si>
  <si>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</si>
  <si>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</si>
  <si>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</si>
  <si>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</si>
  <si>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</si>
  <si>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</si>
  <si>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</si>
  <si>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</si>
  <si>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</si>
  <si>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</si>
  <si>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</si>
  <si>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</si>
  <si>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</si>
  <si>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</si>
  <si>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</si>
  <si>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</si>
  <si>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</si>
  <si>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</si>
  <si>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</si>
  <si>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</si>
  <si>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</si>
  <si>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</si>
  <si>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</si>
  <si>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</si>
  <si>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</si>
  <si>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</si>
  <si>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</si>
  <si>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</si>
  <si>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</si>
  <si>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</si>
  <si>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</si>
  <si>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</si>
  <si>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</si>
  <si>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</si>
  <si>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</si>
  <si>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</si>
  <si>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</si>
  <si>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</si>
  <si>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</si>
  <si>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</si>
  <si>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</si>
  <si>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</si>
  <si>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</si>
  <si>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</si>
  <si>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</si>
  <si>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</si>
  <si>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</si>
  <si>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</si>
  <si>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</si>
  <si>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</si>
  <si>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</si>
  <si>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</si>
  <si>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</si>
  <si>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</si>
  <si>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</si>
  <si>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</si>
  <si>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</si>
  <si>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</si>
  <si>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</si>
  <si>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</si>
  <si>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</si>
  <si>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</si>
  <si>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</si>
  <si>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</si>
  <si>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</si>
  <si>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</si>
  <si>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</si>
  <si>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</si>
  <si>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</si>
  <si>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</si>
  <si>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</si>
  <si>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</si>
  <si>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</si>
  <si>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</si>
  <si>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</si>
  <si>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</si>
  <si>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</si>
  <si>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</si>
  <si>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</si>
  <si>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</si>
  <si>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</si>
  <si>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</si>
  <si>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</si>
  <si>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</si>
  <si>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</si>
  <si>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</si>
  <si>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</si>
  <si>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</si>
  <si>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</si>
  <si>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</si>
  <si>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</si>
  <si>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</si>
  <si>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</si>
  <si>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</si>
  <si>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</si>
  <si>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</si>
  <si>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</si>
  <si>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</si>
  <si>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</si>
  <si>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</si>
  <si>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</si>
  <si>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</si>
  <si>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</si>
  <si>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</si>
  <si>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</si>
  <si>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</si>
  <si>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</si>
  <si>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</si>
  <si>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</si>
  <si>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</si>
  <si>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</si>
  <si>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</si>
  <si>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</si>
  <si>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</si>
  <si>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</si>
  <si>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</si>
  <si>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</si>
  <si>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</si>
  <si>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</si>
  <si>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</si>
  <si>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</si>
  <si>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</si>
  <si>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</si>
  <si>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</si>
  <si>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</si>
  <si>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</si>
  <si>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</si>
  <si>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</si>
  <si>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</si>
  <si>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</si>
  <si>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</si>
  <si>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</si>
  <si>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</si>
  <si>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</si>
  <si>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</si>
  <si>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</si>
  <si>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</si>
  <si>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</si>
  <si>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</si>
  <si>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</si>
  <si>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</si>
  <si>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</si>
  <si>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</si>
  <si>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</si>
  <si>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</si>
  <si>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</si>
  <si>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</si>
  <si>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</si>
  <si>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</si>
  <si>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</si>
  <si>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</si>
  <si>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</si>
  <si>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</si>
  <si>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</si>
  <si>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</si>
  <si>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</si>
  <si>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</si>
  <si>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</si>
  <si>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</si>
  <si>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</si>
  <si>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</si>
  <si>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</si>
  <si>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</si>
  <si>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</si>
  <si>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</si>
  <si>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</si>
  <si>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</si>
  <si>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</si>
  <si>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</si>
  <si>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</si>
  <si>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</si>
  <si>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</si>
  <si>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</si>
  <si>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</si>
  <si>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</si>
  <si>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</si>
  <si>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</si>
  <si>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</si>
  <si>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</si>
  <si>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</si>
  <si>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</si>
  <si>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</si>
  <si>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</si>
  <si>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</si>
  <si>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</si>
  <si>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</si>
  <si>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</si>
  <si>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</si>
  <si>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</si>
  <si>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</si>
  <si>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</si>
  <si>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</si>
  <si>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</si>
  <si>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</si>
  <si>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</si>
  <si>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</si>
  <si>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</si>
  <si>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</si>
  <si>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</si>
  <si>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</si>
  <si>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</si>
  <si>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</si>
  <si>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</si>
  <si>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</si>
  <si>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</si>
  <si>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</si>
  <si>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</si>
  <si>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</si>
  <si>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</si>
  <si>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</si>
  <si>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</si>
  <si>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</si>
  <si>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</si>
  <si>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</si>
  <si>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</si>
  <si>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</si>
  <si>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</si>
  <si>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</si>
  <si>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</si>
  <si>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</si>
  <si>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</si>
  <si>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</si>
  <si>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</si>
  <si>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</si>
  <si>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</si>
  <si>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</si>
  <si>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</si>
  <si>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</si>
  <si>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</si>
  <si>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</si>
  <si>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</si>
  <si>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</si>
  <si>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</si>
  <si>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</si>
  <si>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</si>
  <si>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</si>
  <si>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</si>
  <si>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</si>
  <si>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</si>
  <si>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</si>
  <si>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</si>
  <si>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</si>
  <si>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</si>
  <si>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</si>
  <si>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</si>
  <si>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</si>
  <si>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</si>
  <si>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</si>
  <si>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</si>
  <si>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</si>
  <si>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</si>
  <si>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</si>
  <si>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</si>
  <si>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</si>
  <si>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</si>
  <si>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</si>
  <si>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</si>
  <si>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</si>
  <si>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</si>
  <si>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</si>
  <si>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</si>
  <si>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</si>
  <si>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</si>
  <si>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</si>
  <si>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</si>
  <si>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</si>
  <si>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</si>
  <si>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</si>
  <si>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</si>
  <si>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</si>
  <si>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</si>
  <si>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</si>
  <si>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</si>
  <si>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</si>
  <si>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</si>
  <si>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</si>
  <si>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</si>
  <si>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</si>
  <si>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</si>
  <si>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</si>
  <si>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</si>
  <si>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</si>
  <si>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</si>
  <si>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</si>
  <si>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</si>
  <si>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</si>
  <si>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</si>
  <si>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</si>
  <si>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</si>
  <si>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</si>
  <si>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</si>
  <si>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</si>
  <si>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</si>
  <si>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</si>
  <si>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</si>
  <si>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</si>
  <si>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</si>
  <si>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</si>
  <si>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</si>
  <si>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</si>
  <si>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</si>
  <si>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</si>
  <si>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</si>
  <si>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</si>
  <si>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</si>
  <si>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</si>
  <si>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</si>
  <si>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</si>
  <si>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</si>
  <si>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</si>
  <si>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</si>
  <si>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</si>
  <si>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</si>
  <si>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</si>
  <si>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</si>
  <si>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</si>
  <si>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</si>
  <si>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</si>
  <si>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</si>
  <si>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</si>
  <si>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</si>
  <si>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</si>
  <si>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</si>
  <si>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</si>
  <si>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</si>
  <si>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</si>
  <si>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</si>
  <si>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</si>
  <si>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</si>
  <si>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</si>
  <si>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</si>
  <si>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</si>
  <si>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</si>
  <si>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</si>
  <si>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</si>
  <si>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</si>
  <si>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</si>
  <si>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</si>
  <si>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</si>
  <si>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</si>
  <si>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</si>
  <si>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</si>
  <si>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</si>
  <si>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</si>
  <si>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</si>
  <si>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</si>
  <si>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</si>
  <si>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</si>
  <si>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</si>
  <si>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</si>
  <si>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</si>
  <si>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</si>
  <si>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</si>
  <si>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</si>
  <si>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</si>
  <si>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</si>
  <si>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</si>
  <si>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</si>
  <si>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</si>
  <si>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</si>
  <si>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</si>
  <si>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</si>
  <si>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</si>
  <si>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</si>
  <si>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</si>
  <si>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</si>
  <si>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</si>
  <si>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</si>
  <si>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</si>
  <si>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</si>
  <si>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</si>
  <si>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</si>
  <si>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</si>
  <si>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</si>
  <si>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</si>
  <si>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</si>
  <si>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</si>
  <si>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</si>
  <si>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</si>
  <si>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</si>
  <si>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</si>
  <si>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</si>
  <si>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</si>
  <si>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</si>
  <si>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</si>
  <si>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</si>
  <si>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</si>
  <si>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</si>
  <si>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</si>
  <si>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</si>
  <si>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</si>
  <si>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</si>
  <si>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</si>
  <si>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</si>
  <si>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</si>
  <si>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</si>
  <si>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</si>
  <si>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</si>
  <si>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</si>
  <si>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</si>
  <si>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</si>
  <si>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</si>
  <si>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</si>
  <si>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</si>
  <si>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</si>
  <si>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</si>
  <si>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</si>
  <si>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</si>
  <si>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</si>
  <si>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</si>
  <si>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</si>
  <si>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</si>
  <si>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</si>
  <si>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</si>
  <si>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</si>
  <si>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</si>
  <si>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</si>
  <si>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</si>
  <si>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</si>
  <si>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</si>
  <si>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</si>
  <si>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</si>
  <si>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</si>
  <si>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</si>
  <si>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</si>
  <si>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</si>
  <si>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</si>
  <si>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</si>
  <si>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</si>
  <si>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</si>
  <si>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</si>
  <si>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</si>
  <si>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</si>
  <si>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</si>
  <si>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</si>
  <si>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</si>
  <si>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</si>
  <si>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</si>
  <si>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</si>
  <si>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</si>
  <si>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</si>
  <si>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</si>
  <si>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</si>
  <si>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</si>
  <si>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</si>
  <si>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</si>
  <si>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</si>
  <si>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</si>
  <si>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</si>
  <si>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</si>
  <si>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</si>
  <si>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</si>
  <si>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</si>
  <si>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</si>
  <si>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</si>
  <si>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</si>
  <si>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</si>
  <si>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</si>
  <si>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</si>
  <si>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</si>
  <si>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</si>
  <si>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</si>
  <si>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</si>
  <si>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</si>
  <si>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</si>
  <si>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</si>
  <si>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</si>
  <si>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</si>
  <si>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</si>
  <si>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</si>
  <si>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</si>
  <si>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</si>
  <si>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</si>
  <si>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</si>
  <si>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</si>
  <si>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</si>
  <si>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</si>
  <si>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</si>
  <si>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</si>
  <si>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</si>
  <si>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</si>
  <si>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</si>
  <si>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</si>
  <si>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</si>
  <si>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</si>
  <si>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</si>
  <si>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</si>
  <si>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</si>
  <si>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</si>
  <si>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</si>
  <si>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</si>
  <si>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</si>
  <si>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</si>
  <si>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</si>
  <si>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</si>
  <si>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</si>
  <si>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</si>
  <si>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</si>
  <si>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</si>
  <si>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</si>
  <si>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</si>
  <si>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</si>
  <si>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</si>
  <si>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</si>
  <si>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</si>
  <si>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</si>
  <si>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</si>
  <si>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</si>
  <si>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</si>
  <si>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</si>
  <si>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</si>
  <si>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</si>
  <si>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</si>
  <si>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</si>
  <si>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</si>
  <si>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</si>
  <si>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</si>
  <si>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</si>
  <si>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</si>
  <si>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</si>
  <si>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</si>
  <si>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</si>
  <si>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</si>
  <si>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</si>
  <si>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</si>
  <si>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</si>
  <si>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</si>
  <si>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</si>
  <si>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</si>
  <si>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</si>
  <si>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</si>
  <si>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</si>
  <si>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</si>
  <si>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</si>
  <si>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</si>
  <si>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</si>
  <si>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</si>
  <si>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</si>
  <si>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</si>
  <si>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</si>
  <si>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</si>
  <si>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</si>
  <si>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</si>
  <si>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</si>
  <si>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</si>
  <si>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</si>
  <si>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</si>
  <si>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</si>
  <si>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</si>
  <si>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</si>
  <si>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</si>
  <si>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</si>
  <si>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</si>
  <si>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</si>
  <si>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</si>
  <si>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</si>
  <si>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</si>
  <si>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</si>
  <si>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</si>
  <si>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</si>
  <si>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</si>
  <si>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</si>
  <si>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</si>
  <si>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</si>
  <si>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</si>
  <si>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</si>
  <si>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</si>
  <si>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</si>
  <si>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</si>
  <si>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</si>
  <si>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</si>
  <si>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</si>
  <si>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</si>
  <si>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</si>
  <si>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</si>
  <si>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</si>
  <si>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</si>
  <si>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</si>
  <si>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</si>
  <si>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</si>
  <si>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</si>
  <si>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</si>
  <si>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</si>
  <si>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</si>
  <si>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</si>
  <si>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</si>
  <si>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</si>
  <si>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</si>
  <si>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</si>
  <si>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</si>
  <si>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</si>
  <si>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</si>
  <si>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</si>
  <si>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</si>
  <si>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</si>
  <si>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</si>
  <si>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</si>
  <si>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</si>
  <si>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</si>
  <si>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</si>
  <si>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</si>
  <si>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</si>
  <si>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</si>
  <si>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</si>
  <si>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</si>
  <si>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</si>
  <si>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</si>
  <si>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</si>
  <si>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</si>
  <si>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</si>
  <si>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</si>
  <si>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</si>
  <si>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</si>
  <si>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</si>
  <si>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</si>
  <si>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</si>
  <si>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</si>
  <si>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</si>
  <si>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</si>
  <si>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</si>
  <si>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</si>
  <si>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</si>
  <si>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</si>
  <si>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</si>
  <si>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</si>
  <si>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</si>
  <si>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</si>
  <si>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</si>
  <si>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</si>
  <si>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</si>
  <si>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</si>
  <si>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</si>
  <si>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</si>
  <si>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</si>
  <si>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</si>
  <si>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</si>
  <si>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</si>
  <si>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</si>
  <si>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</si>
  <si>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</si>
  <si>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</si>
  <si>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</si>
  <si>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</si>
  <si>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</si>
  <si>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</si>
  <si>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</si>
  <si>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</si>
  <si>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</si>
  <si>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</si>
  <si>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</si>
  <si>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</si>
  <si>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</si>
  <si>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</si>
  <si>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</si>
  <si>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</si>
  <si>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</si>
  <si>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</si>
  <si>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</si>
  <si>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</si>
  <si>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</si>
  <si>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</si>
  <si>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</si>
  <si>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</si>
  <si>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</si>
  <si>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</si>
  <si>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</si>
  <si>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</si>
  <si>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</si>
  <si>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</si>
  <si>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</si>
  <si>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</si>
  <si>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</si>
  <si>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</si>
  <si>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</si>
  <si>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</si>
  <si>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</si>
  <si>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</si>
  <si>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</si>
  <si>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</si>
  <si>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</si>
  <si>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</si>
  <si>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</si>
  <si>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</si>
  <si>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</si>
  <si>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</si>
  <si>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</si>
  <si>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</si>
  <si>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</si>
  <si>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</si>
  <si>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</si>
  <si>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</si>
  <si>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</si>
  <si>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</si>
  <si>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</si>
  <si>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</si>
  <si>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</si>
  <si>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</si>
  <si>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</si>
  <si>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</si>
  <si>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</si>
  <si>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</si>
  <si>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</si>
  <si>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</si>
  <si>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</si>
  <si>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</si>
  <si>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</si>
  <si>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</si>
  <si>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</si>
  <si>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</si>
  <si>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</si>
  <si>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</si>
  <si>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</si>
  <si>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</si>
  <si>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</si>
  <si>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</si>
  <si>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</si>
  <si>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</si>
  <si>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</si>
  <si>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</si>
  <si>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</si>
  <si>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</si>
  <si>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</si>
  <si>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</si>
  <si>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</si>
  <si>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</si>
  <si>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</si>
  <si>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</si>
  <si>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</si>
  <si>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</si>
  <si>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</si>
  <si>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</si>
  <si>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</si>
  <si>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</si>
  <si>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</si>
  <si>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</si>
  <si>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</si>
  <si>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</si>
  <si>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</si>
  <si>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</si>
  <si>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</si>
  <si>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</si>
  <si>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</si>
  <si>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</si>
  <si>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</si>
  <si>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</si>
  <si>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</si>
  <si>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</si>
  <si>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</si>
  <si>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</si>
  <si>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</si>
  <si>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</si>
  <si>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</si>
  <si>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</si>
  <si>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</si>
  <si>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</si>
  <si>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</si>
  <si>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</si>
  <si>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</si>
  <si>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</si>
  <si>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</si>
  <si>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</si>
  <si>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</si>
  <si>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</si>
  <si>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</si>
  <si>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</si>
  <si>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</si>
  <si>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</si>
  <si>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</si>
  <si>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</si>
  <si>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</si>
  <si>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</si>
  <si>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</si>
  <si>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</si>
  <si>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</si>
  <si>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</si>
  <si>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</si>
  <si>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</si>
  <si>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</si>
  <si>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</si>
  <si>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</si>
  <si>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</si>
  <si>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</si>
  <si>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</si>
  <si>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</si>
  <si>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</si>
  <si>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</si>
  <si>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</si>
  <si>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</si>
  <si>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</si>
  <si>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</si>
  <si>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</si>
  <si>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</si>
  <si>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</si>
  <si>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</si>
  <si>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</si>
  <si>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</si>
  <si>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</si>
  <si>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</si>
  <si>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</si>
  <si>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</si>
  <si>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</si>
  <si>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</si>
  <si>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</si>
  <si>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</si>
  <si>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</si>
  <si>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</si>
  <si>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</si>
  <si>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</si>
  <si>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</si>
  <si>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</si>
  <si>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</si>
  <si>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</si>
  <si>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</si>
  <si>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</si>
  <si>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</si>
  <si>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</si>
  <si>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</si>
  <si>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</si>
  <si>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</si>
  <si>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</si>
  <si>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</si>
  <si>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</si>
  <si>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</si>
  <si>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</si>
  <si>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</si>
  <si>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</si>
  <si>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</si>
  <si>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</si>
  <si>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</si>
  <si>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</si>
  <si>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</si>
  <si>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</si>
  <si>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</si>
  <si>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</si>
  <si>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</si>
  <si>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</si>
  <si>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</si>
  <si>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</si>
  <si>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</si>
  <si>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</si>
  <si>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</si>
  <si>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</si>
  <si>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</si>
  <si>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</si>
  <si>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</si>
  <si>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</si>
  <si>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</si>
  <si>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</si>
  <si>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</si>
  <si>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</si>
  <si>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</si>
  <si>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</si>
  <si>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</si>
  <si>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</si>
  <si>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</si>
  <si>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</si>
  <si>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</si>
  <si>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</si>
  <si>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</si>
  <si>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</si>
  <si>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</si>
  <si>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</si>
  <si>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</si>
  <si>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</si>
  <si>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</si>
  <si>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</si>
  <si>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</si>
  <si>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</si>
  <si>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</si>
  <si>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</si>
  <si>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</si>
  <si>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</si>
  <si>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</si>
  <si>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</si>
  <si>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</si>
  <si>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</si>
  <si>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</si>
  <si>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</si>
  <si>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</si>
  <si>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</si>
  <si>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</si>
  <si>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</si>
  <si>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</si>
  <si>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</si>
  <si>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</si>
  <si>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</si>
  <si>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</si>
  <si>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</si>
  <si>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</si>
  <si>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</si>
  <si>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</si>
  <si>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</si>
  <si>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</si>
  <si>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</si>
  <si>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</si>
  <si>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</si>
  <si>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</si>
  <si>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</si>
  <si>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</si>
  <si>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</si>
  <si>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</si>
  <si>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</si>
  <si>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</si>
  <si>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</si>
  <si>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</si>
  <si>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</si>
  <si>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</si>
  <si>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</si>
  <si>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</si>
  <si>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</si>
  <si>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</si>
  <si>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</si>
  <si>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</si>
  <si>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</si>
  <si>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</si>
  <si>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</si>
  <si>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</si>
  <si>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</si>
  <si>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</si>
  <si>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</si>
  <si>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</si>
  <si>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</si>
  <si>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</si>
  <si>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</si>
  <si>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</si>
  <si>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</si>
  <si>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</si>
  <si>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</si>
  <si>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</si>
  <si>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</si>
  <si>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</si>
  <si>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</si>
  <si>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</si>
  <si>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</si>
  <si>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</si>
  <si>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</si>
  <si>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</si>
  <si>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</si>
  <si>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</si>
  <si>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</si>
  <si>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</si>
  <si>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</si>
  <si>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</si>
  <si>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</si>
  <si>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</si>
  <si>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</si>
  <si>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</si>
  <si>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</si>
  <si>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</si>
  <si>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</si>
  <si>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</si>
  <si>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</si>
  <si>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</si>
  <si>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</si>
  <si>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</si>
  <si>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</si>
  <si>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</si>
  <si>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</si>
  <si>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</si>
  <si>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</si>
  <si>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</si>
  <si>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</si>
  <si>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</si>
  <si>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</si>
  <si>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</si>
  <si>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</si>
  <si>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</si>
  <si>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</si>
  <si>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</si>
  <si>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</si>
  <si>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</si>
  <si>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</si>
  <si>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</si>
  <si>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</si>
  <si>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</si>
  <si>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</si>
  <si>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</si>
  <si>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</si>
  <si>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</si>
  <si>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</si>
  <si>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</si>
  <si>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</si>
  <si>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</si>
  <si>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</si>
  <si>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</si>
  <si>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</si>
  <si>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</si>
  <si>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</si>
  <si>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</si>
  <si>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</si>
  <si>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</si>
  <si>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</si>
  <si>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</si>
  <si>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</si>
  <si>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</si>
  <si>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</si>
  <si>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</si>
  <si>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</si>
  <si>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</si>
  <si>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</si>
  <si>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</si>
  <si>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</si>
  <si>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</si>
  <si>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</si>
  <si>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</si>
  <si>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</si>
  <si>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</si>
  <si>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</si>
  <si>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</si>
  <si>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</si>
  <si>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</si>
  <si>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</si>
  <si>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</si>
  <si>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</si>
  <si>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</si>
  <si>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</si>
  <si>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</si>
  <si>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</si>
  <si>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</si>
  <si>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</si>
  <si>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</si>
  <si>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</si>
  <si>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</si>
  <si>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</si>
  <si>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</si>
  <si>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</si>
  <si>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</si>
  <si>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</si>
  <si>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</si>
  <si>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</si>
  <si>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</si>
  <si>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</si>
  <si>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</si>
  <si>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</si>
  <si>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</si>
  <si>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</si>
  <si>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</si>
  <si>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</si>
  <si>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</si>
  <si>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</si>
  <si>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</si>
  <si>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</si>
  <si>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</si>
  <si>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</si>
  <si>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</si>
  <si>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</si>
  <si>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</si>
  <si>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</si>
  <si>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</si>
  <si>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</si>
  <si>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</si>
  <si>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</si>
  <si>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</si>
  <si>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</si>
  <si>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</si>
  <si>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</si>
  <si>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</si>
  <si>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</si>
  <si>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</si>
  <si>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</si>
  <si>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</si>
  <si>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</si>
  <si>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</si>
  <si>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</si>
  <si>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</si>
  <si>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</si>
  <si>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</si>
  <si>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</si>
  <si>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</si>
  <si>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</si>
  <si>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</si>
  <si>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</si>
  <si>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</si>
  <si>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</si>
  <si>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</si>
  <si>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</si>
  <si>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</si>
  <si>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</si>
  <si>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</si>
  <si>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</si>
  <si>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</si>
  <si>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</si>
  <si>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</si>
  <si>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</si>
  <si>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</si>
  <si>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</si>
  <si>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</si>
  <si>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</si>
  <si>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</si>
  <si>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</si>
  <si>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</si>
  <si>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</si>
  <si>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</si>
  <si>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</si>
  <si>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</si>
  <si>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</si>
  <si>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</si>
  <si>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</si>
  <si>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</si>
  <si>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</si>
  <si>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</si>
  <si>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</si>
  <si>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</si>
  <si>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</si>
  <si>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</si>
  <si>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</si>
  <si>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</si>
  <si>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</si>
  <si>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</si>
  <si>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</si>
  <si>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</si>
  <si>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</si>
  <si>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</si>
  <si>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</si>
  <si>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</si>
  <si>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</si>
  <si>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</si>
  <si>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</si>
  <si>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</si>
  <si>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</si>
  <si>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</si>
  <si>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</si>
  <si>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</si>
  <si>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</si>
  <si>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</si>
  <si>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</si>
  <si>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</si>
  <si>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</si>
  <si>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</si>
  <si>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</si>
  <si>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</si>
  <si>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</si>
  <si>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</si>
  <si>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</si>
  <si>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</si>
  <si>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</si>
  <si>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</si>
  <si>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</si>
  <si>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</si>
  <si>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</si>
  <si>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</si>
  <si>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</si>
  <si>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</si>
  <si>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</si>
  <si>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</si>
  <si>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</si>
  <si>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</si>
  <si>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</si>
  <si>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</si>
  <si>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</si>
  <si>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</si>
  <si>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</si>
  <si>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</si>
  <si>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</si>
  <si>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</si>
  <si>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</si>
  <si>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</si>
  <si>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</si>
  <si>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</si>
  <si>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</si>
  <si>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</si>
  <si>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</si>
  <si>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</si>
  <si>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</si>
  <si>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</si>
  <si>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</si>
  <si>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</si>
  <si>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</si>
  <si>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</si>
  <si>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</si>
  <si>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</si>
  <si>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</si>
  <si>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</si>
  <si>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</si>
  <si>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</si>
  <si>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</si>
  <si>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</si>
  <si>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</si>
  <si>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</si>
  <si>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</si>
  <si>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</si>
  <si>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</si>
  <si>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</si>
  <si>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</si>
  <si>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</si>
  <si>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</si>
  <si>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</si>
  <si>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</si>
  <si>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</si>
  <si>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</si>
  <si>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</si>
  <si>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</si>
  <si>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</si>
  <si>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</si>
  <si>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</si>
  <si>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</si>
  <si>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</si>
  <si>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</si>
  <si>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</si>
  <si>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</si>
  <si>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</si>
  <si>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</si>
  <si>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</si>
  <si>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</si>
  <si>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</si>
  <si>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</si>
  <si>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</si>
  <si>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</si>
  <si>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</si>
  <si>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</si>
  <si>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</si>
  <si>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</si>
  <si>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</si>
  <si>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</si>
  <si>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</si>
  <si>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</si>
  <si>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</si>
  <si>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</si>
  <si>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</si>
  <si>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</si>
  <si>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</si>
  <si>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</si>
  <si>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</si>
  <si>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</si>
  <si>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</si>
  <si>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</si>
  <si>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</si>
  <si>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</si>
  <si>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</si>
  <si>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</si>
  <si>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</si>
  <si>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</si>
  <si>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</si>
  <si>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</si>
  <si>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</si>
  <si>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</si>
  <si>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</si>
  <si>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</si>
  <si>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</si>
  <si>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</si>
  <si>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</si>
  <si>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</si>
  <si>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</si>
  <si>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</si>
  <si>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</si>
  <si>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</si>
  <si>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</si>
  <si>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</si>
  <si>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</si>
  <si>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</si>
  <si>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</si>
  <si>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</si>
  <si>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</si>
  <si>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</si>
  <si>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</si>
  <si>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</si>
  <si>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</si>
  <si>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</si>
  <si>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</si>
  <si>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</si>
  <si>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</si>
  <si>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</si>
  <si>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</si>
  <si>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</si>
  <si>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</si>
  <si>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</si>
  <si>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</si>
  <si>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</si>
  <si>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</si>
  <si>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</si>
  <si>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</si>
  <si>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</si>
  <si>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</si>
  <si>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</si>
  <si>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</si>
  <si>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</si>
  <si>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</si>
  <si>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</si>
  <si>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</si>
  <si>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</si>
  <si>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</si>
  <si>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</si>
  <si>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</si>
  <si>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</si>
  <si>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</si>
  <si>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</si>
  <si>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</si>
  <si>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</si>
  <si>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</si>
  <si>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</si>
  <si>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</si>
  <si>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</si>
  <si>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</si>
  <si>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</si>
  <si>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</si>
  <si>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</si>
  <si>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</si>
  <si>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</si>
  <si>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</si>
  <si>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</si>
  <si>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</si>
  <si>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</si>
  <si>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</si>
  <si>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</si>
  <si>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</si>
  <si>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</si>
  <si>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</si>
  <si>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</si>
  <si>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</si>
  <si>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</si>
  <si>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</si>
  <si>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</si>
  <si>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</si>
  <si>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</si>
  <si>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</si>
  <si>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</si>
  <si>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</si>
  <si>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</si>
  <si>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</si>
  <si>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</si>
  <si>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</si>
  <si>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</si>
  <si>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</si>
  <si>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</si>
  <si>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</si>
  <si>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</si>
  <si>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</si>
  <si>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</si>
  <si>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</si>
  <si>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</si>
  <si>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</si>
  <si>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</si>
  <si>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</si>
  <si>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</si>
  <si>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</si>
  <si>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</si>
  <si>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</si>
  <si>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</si>
  <si>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</si>
  <si>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</si>
  <si>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</si>
  <si>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</si>
  <si>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</si>
  <si>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</si>
  <si>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</si>
  <si>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</si>
  <si>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</si>
  <si>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</si>
  <si>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</si>
  <si>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</si>
  <si>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</si>
  <si>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</si>
  <si>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</si>
  <si>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</si>
  <si>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</si>
  <si>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</si>
  <si>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</si>
  <si>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</si>
  <si>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</si>
  <si>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</si>
  <si>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</si>
  <si>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</si>
  <si>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</si>
  <si>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</si>
  <si>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</si>
  <si>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</si>
  <si>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</si>
  <si>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</si>
  <si>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</si>
  <si>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</si>
  <si>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</si>
  <si>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</si>
  <si>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</si>
  <si>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</si>
  <si>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</si>
  <si>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</si>
  <si>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</si>
  <si>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</si>
  <si>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</si>
  <si>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</si>
  <si>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</si>
  <si>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</si>
  <si>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</si>
  <si>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</si>
  <si>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</si>
  <si>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</si>
  <si>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</si>
  <si>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</si>
  <si>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</si>
  <si>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</si>
  <si>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</si>
  <si>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</si>
  <si>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</si>
  <si>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</si>
  <si>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</si>
  <si>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</si>
  <si>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</si>
  <si>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</si>
  <si>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</si>
  <si>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</si>
  <si>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</si>
  <si>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</si>
  <si>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</si>
  <si>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</si>
  <si>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</si>
  <si>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</si>
  <si>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</si>
  <si>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</si>
  <si>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</si>
  <si>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</si>
  <si>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</si>
  <si>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</si>
  <si>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</si>
  <si>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</si>
  <si>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</si>
  <si>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</si>
  <si>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</si>
  <si>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</si>
  <si>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</si>
  <si>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</si>
  <si>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</si>
  <si>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</si>
  <si>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</si>
  <si>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</si>
  <si>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</si>
  <si>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</si>
  <si>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</si>
  <si>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</si>
  <si>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</si>
  <si>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</si>
  <si>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</si>
  <si>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</si>
  <si>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</si>
  <si>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</si>
  <si>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</si>
  <si>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</si>
  <si>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</si>
  <si>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</si>
  <si>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</si>
  <si>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</si>
  <si>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</si>
  <si>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</si>
  <si>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</si>
  <si>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</si>
  <si>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</si>
  <si>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</si>
  <si>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</si>
  <si>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</si>
  <si>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</si>
  <si>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</si>
  <si>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</si>
  <si>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</si>
  <si>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</si>
  <si>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</si>
  <si>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</si>
  <si>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</si>
  <si>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</si>
  <si>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</si>
  <si>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</si>
  <si>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</si>
  <si>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</si>
  <si>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</si>
  <si>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</si>
  <si>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</si>
  <si>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</si>
  <si>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</si>
  <si>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</si>
  <si>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</si>
  <si>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</si>
  <si>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</si>
  <si>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</si>
  <si>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</si>
  <si>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</si>
  <si>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</si>
  <si>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</si>
  <si>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</si>
  <si>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</si>
  <si>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</si>
  <si>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</si>
  <si>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</si>
  <si>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</si>
  <si>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</si>
  <si>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</si>
  <si>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</si>
  <si>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</si>
  <si>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</si>
  <si>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</si>
  <si>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</si>
  <si>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</si>
  <si>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</si>
  <si>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</si>
  <si>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</si>
  <si>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</si>
  <si>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</si>
  <si>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</si>
  <si>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</si>
  <si>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</si>
  <si>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</si>
  <si>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</si>
  <si>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</si>
  <si>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</si>
  <si>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</si>
  <si>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</si>
  <si>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</si>
  <si>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</si>
  <si>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</si>
  <si>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</si>
  <si>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</si>
  <si>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</si>
  <si>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</si>
  <si>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</si>
  <si>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</si>
  <si>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</si>
  <si>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</si>
  <si>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</si>
  <si>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</si>
  <si>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</si>
  <si>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</si>
  <si>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</si>
  <si>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</si>
  <si>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</si>
  <si>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</si>
  <si>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</si>
  <si>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</si>
  <si>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</si>
  <si>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</si>
  <si>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</si>
  <si>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</si>
  <si>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</si>
  <si>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</si>
  <si>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</si>
  <si>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</si>
  <si>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</si>
  <si>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</si>
  <si>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</si>
  <si>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</si>
  <si>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</si>
  <si>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</si>
  <si>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</si>
  <si>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</si>
  <si>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</si>
  <si>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</si>
  <si>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</si>
  <si>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</si>
  <si>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</si>
  <si>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</si>
  <si>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</si>
  <si>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</si>
  <si>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</si>
  <si>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</si>
  <si>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</si>
  <si>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</si>
  <si>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</si>
  <si>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</si>
  <si>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</si>
  <si>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</si>
  <si>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</si>
  <si>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</si>
  <si>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</si>
  <si>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</si>
  <si>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</si>
  <si>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</si>
  <si>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</si>
  <si>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</si>
  <si>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</si>
  <si>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</si>
  <si>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</si>
  <si>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</si>
  <si>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</si>
  <si>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</si>
  <si>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</si>
  <si>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</si>
  <si>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</si>
  <si>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</si>
  <si>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</si>
  <si>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</si>
  <si>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</si>
  <si>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</si>
  <si>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</si>
  <si>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</si>
  <si>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</si>
  <si>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</si>
  <si>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</si>
  <si>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</si>
  <si>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</si>
  <si>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</si>
  <si>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</si>
  <si>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</si>
  <si>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</si>
  <si>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</si>
  <si>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</si>
  <si>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</si>
  <si>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</si>
  <si>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</si>
  <si>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</si>
  <si>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</si>
  <si>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</si>
  <si>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</si>
  <si>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</si>
  <si>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</si>
  <si>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</si>
  <si>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</si>
  <si>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</si>
  <si>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</si>
  <si>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</si>
  <si>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</si>
  <si>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</si>
  <si>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</si>
  <si>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</si>
  <si>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</si>
  <si>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</si>
  <si>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</si>
  <si>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</si>
  <si>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</si>
  <si>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</si>
  <si>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</si>
  <si>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</si>
  <si>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</si>
  <si>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</si>
  <si>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</si>
  <si>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</si>
  <si>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</si>
  <si>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</si>
  <si>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</si>
  <si>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</si>
  <si>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</si>
  <si>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</si>
  <si>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</si>
  <si>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</si>
  <si>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</si>
  <si>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</si>
  <si>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</si>
  <si>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</si>
  <si>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</si>
  <si>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</si>
  <si>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</si>
  <si>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</si>
  <si>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</si>
  <si>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</si>
  <si>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</si>
  <si>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</si>
  <si>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</si>
  <si>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</si>
  <si>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</si>
  <si>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</si>
  <si>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</si>
  <si>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</si>
  <si>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</si>
  <si>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</si>
  <si>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</si>
  <si>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</si>
  <si>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</si>
  <si>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</si>
  <si>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</si>
  <si>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</si>
  <si>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</si>
  <si>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</si>
  <si>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</si>
  <si>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</si>
  <si>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</si>
  <si>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</si>
  <si>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</si>
  <si>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</si>
  <si>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</si>
  <si>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</si>
  <si>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</si>
  <si>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</si>
  <si>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</si>
  <si>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</si>
  <si>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</si>
  <si>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</si>
  <si>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</si>
  <si>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</si>
  <si>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</si>
  <si>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</si>
  <si>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</si>
  <si>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</si>
  <si>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</si>
  <si>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</si>
  <si>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</si>
  <si>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</si>
  <si>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</si>
  <si>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</si>
  <si>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</si>
  <si>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</si>
  <si>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</si>
  <si>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</si>
  <si>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</si>
  <si>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</si>
  <si>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</si>
  <si>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</si>
  <si>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</si>
  <si>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</si>
  <si>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</si>
  <si>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</si>
  <si>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</si>
  <si>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</si>
  <si>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</si>
  <si>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</si>
  <si>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</si>
  <si>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</si>
  <si>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</si>
  <si>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</si>
  <si>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</si>
  <si>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</si>
  <si>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</si>
  <si>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</si>
  <si>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</si>
  <si>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</si>
  <si>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</si>
  <si>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</si>
  <si>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</si>
  <si>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</si>
  <si>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</si>
  <si>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</si>
  <si>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</si>
  <si>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</si>
  <si>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</si>
  <si>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</si>
  <si>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</si>
  <si>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</si>
  <si>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</si>
  <si>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</si>
  <si>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</si>
  <si>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</si>
  <si>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</si>
  <si>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</si>
  <si>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</si>
  <si>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</si>
  <si>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</si>
  <si>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</si>
  <si>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</si>
  <si>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</si>
  <si>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</si>
  <si>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</si>
  <si>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</si>
  <si>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</si>
  <si>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</si>
  <si>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</si>
  <si>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</si>
  <si>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</si>
  <si>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</si>
  <si>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</si>
  <si>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</si>
  <si>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</si>
  <si>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</si>
  <si>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</si>
  <si>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</si>
  <si>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</si>
  <si>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</si>
  <si>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</si>
  <si>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</si>
  <si>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</si>
  <si>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</si>
  <si>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</si>
  <si>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</si>
  <si>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</si>
  <si>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</si>
  <si>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</si>
  <si>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</si>
  <si>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</si>
  <si>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</si>
  <si>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</si>
  <si>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</si>
  <si>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</si>
  <si>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</si>
  <si>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</si>
  <si>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</si>
  <si>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</si>
  <si>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</si>
  <si>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</si>
  <si>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</si>
  <si>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</si>
  <si>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</si>
  <si>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</si>
  <si>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</si>
  <si>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</si>
  <si>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</si>
  <si>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</si>
  <si>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</si>
  <si>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</si>
  <si>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</si>
  <si>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</si>
  <si>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</si>
  <si>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</si>
  <si>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</si>
  <si>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</si>
  <si>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</si>
  <si>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</si>
  <si>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</si>
  <si>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</si>
  <si>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</si>
  <si>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</si>
  <si>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</si>
  <si>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</si>
  <si>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</si>
  <si>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</si>
  <si>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</si>
  <si>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</si>
  <si>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</si>
  <si>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</si>
  <si>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</si>
  <si>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</si>
  <si>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</si>
  <si>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</si>
  <si>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</si>
  <si>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</si>
  <si>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</si>
  <si>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</si>
  <si>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</si>
  <si>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</si>
  <si>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</si>
  <si>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</si>
  <si>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</si>
  <si>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</si>
  <si>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</si>
  <si>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</si>
  <si>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</si>
  <si>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</si>
  <si>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</si>
  <si>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</si>
  <si>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</si>
  <si>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</si>
  <si>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</si>
  <si>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</si>
  <si>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</si>
  <si>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</si>
  <si>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</si>
  <si>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</si>
  <si>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</si>
  <si>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</si>
  <si>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</si>
  <si>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</si>
  <si>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</si>
  <si>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</si>
  <si>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</si>
  <si>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</si>
  <si>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</si>
  <si>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</si>
  <si>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</si>
  <si>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</si>
  <si>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</si>
  <si>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</si>
  <si>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</si>
  <si>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</si>
  <si>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</si>
  <si>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</si>
  <si>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</si>
  <si>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</si>
  <si>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</si>
  <si>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</si>
  <si>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</si>
  <si>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</si>
  <si>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</si>
  <si>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</si>
  <si>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</si>
  <si>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</si>
  <si>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</si>
  <si>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</si>
  <si>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</si>
  <si>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</si>
  <si>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</si>
  <si>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</si>
  <si>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</si>
  <si>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</si>
  <si>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</si>
  <si>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</si>
  <si>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</si>
  <si>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</si>
  <si>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</si>
  <si>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</si>
  <si>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</si>
  <si>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</si>
  <si>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</si>
  <si>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</si>
  <si>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</si>
  <si>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</si>
  <si>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</si>
  <si>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</si>
  <si>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</si>
  <si>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</si>
  <si>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</si>
  <si>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</si>
  <si>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</si>
  <si>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</si>
  <si>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</si>
  <si>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</si>
  <si>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</si>
  <si>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</si>
  <si>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</si>
  <si>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</si>
  <si>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</si>
  <si>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</si>
  <si>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</si>
  <si>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</si>
  <si>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</si>
  <si>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</si>
  <si>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</si>
  <si>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</si>
  <si>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</si>
  <si>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</si>
  <si>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</si>
  <si>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</si>
  <si>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</si>
  <si>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</si>
  <si>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</si>
  <si>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</si>
  <si>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</si>
  <si>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</si>
  <si>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</si>
  <si>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</si>
  <si>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</si>
  <si>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</si>
  <si>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</si>
  <si>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</si>
  <si>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</si>
  <si>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</si>
  <si>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</si>
  <si>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</si>
  <si>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</si>
  <si>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</si>
  <si>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</si>
  <si>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</si>
  <si>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</si>
  <si>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</si>
  <si>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</si>
  <si>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</si>
  <si>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</si>
  <si>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</si>
  <si>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</si>
  <si>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</si>
  <si>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</si>
  <si>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</si>
  <si>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</si>
  <si>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</si>
  <si>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</si>
  <si>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</si>
  <si>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</si>
  <si>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</si>
  <si>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</si>
  <si>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</si>
  <si>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</si>
  <si>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</si>
  <si>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</si>
  <si>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</si>
  <si>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</si>
  <si>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</si>
  <si>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</si>
  <si>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</si>
  <si>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</si>
  <si>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</si>
  <si>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</si>
  <si>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</si>
  <si>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</si>
  <si>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</si>
  <si>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</si>
  <si>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</si>
  <si>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</si>
  <si>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</si>
  <si>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</si>
  <si>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</si>
  <si>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</si>
  <si>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</si>
  <si>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</si>
  <si>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</si>
  <si>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</si>
  <si>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</si>
  <si>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</si>
  <si>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</si>
  <si>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</si>
  <si>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</si>
  <si>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</si>
  <si>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</si>
  <si>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</si>
  <si>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</si>
  <si>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</si>
  <si>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</si>
  <si>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</si>
  <si>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</si>
  <si>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</si>
  <si>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</si>
  <si>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</si>
  <si>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</si>
  <si>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</si>
  <si>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</si>
  <si>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</si>
  <si>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</si>
  <si>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</si>
  <si>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</si>
  <si>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</si>
  <si>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</si>
  <si>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</si>
  <si>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</si>
  <si>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</si>
  <si>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</si>
  <si>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</si>
  <si>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</si>
  <si>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</si>
  <si>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</si>
  <si>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</si>
  <si>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</si>
  <si>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</si>
  <si>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</si>
  <si>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</si>
  <si>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</si>
  <si>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</si>
  <si>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</si>
  <si>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</si>
  <si>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</si>
  <si>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</si>
  <si>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</si>
  <si>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</si>
  <si>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</si>
  <si>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</si>
  <si>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</si>
  <si>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</si>
  <si>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</si>
  <si>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</si>
  <si>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</si>
  <si>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</si>
  <si>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</si>
  <si>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</si>
  <si>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</si>
  <si>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</si>
  <si>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</si>
  <si>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</si>
  <si>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</si>
  <si>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</si>
  <si>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</si>
  <si>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</si>
  <si>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</si>
  <si>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</si>
  <si>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</si>
  <si>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</si>
  <si>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</si>
  <si>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</si>
  <si>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</si>
  <si>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</si>
  <si>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</si>
  <si>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</si>
  <si>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</si>
  <si>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</si>
  <si>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</si>
  <si>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</si>
  <si>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</si>
  <si>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</si>
  <si>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</si>
  <si>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</si>
  <si>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</si>
  <si>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</si>
  <si>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</si>
  <si>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</si>
  <si>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</si>
  <si>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</si>
  <si>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</si>
  <si>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</si>
  <si>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</si>
  <si>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</si>
  <si>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</si>
  <si>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</si>
  <si>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</si>
  <si>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</si>
  <si>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</si>
  <si>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</si>
  <si>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</si>
  <si>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</si>
  <si>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</si>
  <si>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</si>
  <si>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</si>
  <si>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</si>
  <si>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</si>
  <si>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</si>
  <si>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</si>
  <si>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</si>
  <si>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</si>
  <si>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</si>
  <si>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</si>
  <si>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</si>
  <si>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</si>
  <si>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</si>
  <si>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</si>
  <si>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</si>
  <si>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</si>
  <si>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</si>
  <si>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</si>
  <si>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</si>
  <si>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</si>
  <si>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</si>
  <si>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</si>
  <si>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</si>
  <si>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</si>
  <si>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</si>
  <si>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</si>
  <si>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</si>
  <si>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</si>
  <si>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</si>
  <si>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</si>
  <si>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</si>
  <si>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</si>
  <si>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</si>
  <si>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</si>
  <si>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</si>
  <si>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</si>
  <si>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</si>
  <si>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</si>
  <si>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</si>
  <si>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</si>
  <si>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</si>
  <si>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</si>
  <si>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</si>
  <si>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</si>
  <si>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</si>
  <si>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</si>
  <si>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</si>
  <si>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</si>
  <si>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</si>
  <si>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</si>
  <si>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</si>
  <si>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</si>
  <si>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</si>
  <si>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</si>
  <si>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</si>
  <si>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</si>
  <si>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</si>
  <si>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</si>
  <si>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</si>
  <si>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</si>
  <si>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</si>
  <si>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</si>
  <si>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</si>
  <si>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</si>
  <si>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</si>
  <si>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</si>
  <si>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</si>
  <si>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</si>
  <si>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</si>
  <si>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</si>
  <si>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</si>
  <si>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</si>
  <si>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</si>
  <si>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</si>
  <si>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</si>
  <si>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</si>
  <si>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</si>
  <si>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</si>
  <si>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</si>
  <si>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</si>
  <si>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</si>
  <si>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</si>
  <si>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</si>
  <si>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</si>
  <si>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</si>
  <si>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</si>
  <si>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</si>
  <si>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</si>
  <si>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</si>
  <si>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</si>
  <si>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</si>
  <si>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</si>
  <si>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</si>
  <si>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</si>
  <si>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</si>
  <si>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</si>
  <si>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</si>
  <si>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</si>
  <si>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</si>
  <si>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</si>
  <si>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</si>
  <si>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</si>
  <si>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</si>
  <si>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</si>
  <si>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</si>
  <si>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</si>
  <si>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</si>
  <si>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</si>
  <si>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</si>
  <si>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</si>
  <si>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</si>
  <si>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</si>
  <si>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</si>
  <si>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</si>
  <si>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</si>
  <si>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</si>
  <si>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</si>
  <si>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</si>
  <si>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</si>
  <si>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</si>
  <si>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</si>
  <si>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</si>
  <si>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</si>
  <si>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</si>
  <si>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</si>
  <si>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</si>
  <si>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</si>
  <si>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</si>
  <si>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</si>
  <si>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</si>
  <si>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</si>
  <si>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</si>
  <si>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</si>
  <si>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</si>
  <si>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</si>
  <si>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</si>
  <si>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</si>
  <si>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</si>
  <si>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</si>
  <si>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</si>
  <si>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</si>
  <si>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</si>
  <si>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</si>
  <si>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</si>
  <si>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</si>
  <si>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</si>
  <si>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</si>
  <si>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</si>
  <si>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</si>
  <si>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</si>
  <si>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</si>
  <si>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</si>
  <si>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</si>
  <si>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</si>
  <si>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</si>
  <si>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</si>
  <si>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</si>
  <si>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</si>
  <si>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</si>
  <si>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</si>
  <si>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</si>
  <si>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</si>
  <si>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</si>
  <si>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</si>
  <si>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</si>
  <si>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</si>
  <si>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</si>
  <si>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</si>
  <si>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</si>
  <si>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</si>
  <si>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</si>
  <si>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</si>
  <si>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</si>
  <si>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</si>
  <si>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</si>
  <si>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</si>
  <si>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</si>
  <si>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</si>
  <si>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</si>
  <si>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</si>
  <si>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</si>
  <si>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</si>
  <si>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</si>
  <si>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</si>
  <si>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</si>
  <si>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</si>
  <si>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</si>
  <si>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</si>
  <si>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</si>
  <si>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</si>
  <si>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</si>
  <si>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</si>
  <si>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</si>
  <si>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</si>
  <si>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</si>
  <si>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</si>
  <si>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</si>
  <si>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</si>
  <si>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</si>
  <si>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</si>
  <si>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</si>
  <si>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</si>
  <si>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</si>
  <si>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</si>
  <si>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</si>
  <si>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</si>
  <si>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</si>
  <si>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</si>
  <si>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</si>
  <si>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</si>
  <si>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</si>
  <si>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</si>
  <si>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</si>
  <si>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</si>
  <si>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</si>
  <si>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</si>
  <si>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</si>
  <si>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</si>
  <si>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</si>
  <si>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</si>
  <si>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</si>
  <si>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</si>
  <si>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</si>
  <si>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</si>
  <si>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</si>
  <si>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</si>
  <si>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</si>
  <si>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</si>
  <si>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</si>
  <si>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</si>
  <si>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</si>
  <si>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</si>
  <si>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</si>
  <si>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</si>
  <si>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</si>
  <si>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</si>
  <si>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</si>
  <si>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</si>
  <si>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</si>
  <si>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</si>
  <si>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</si>
  <si>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</si>
  <si>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</si>
  <si>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</si>
  <si>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</si>
  <si>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</si>
  <si>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</si>
  <si>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</si>
  <si>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</si>
  <si>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</si>
  <si>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</si>
  <si>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</si>
  <si>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</si>
  <si>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</si>
  <si>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</si>
  <si>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</si>
  <si>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</si>
  <si>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</si>
  <si>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</si>
  <si>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</si>
  <si>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</si>
  <si>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</si>
  <si>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</si>
  <si>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</si>
  <si>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</si>
  <si>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</si>
  <si>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</si>
  <si>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</si>
  <si>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</si>
  <si>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</si>
  <si>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</si>
  <si>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</si>
  <si>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</si>
  <si>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</si>
  <si>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</si>
  <si>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</si>
  <si>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</si>
  <si>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</si>
  <si>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</si>
  <si>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</si>
  <si>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</si>
  <si>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</si>
  <si>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</si>
  <si>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</si>
  <si>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</si>
  <si>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</si>
  <si>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</si>
  <si>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</si>
  <si>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</si>
  <si>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</si>
  <si>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</si>
  <si>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</si>
  <si>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</si>
  <si>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</si>
  <si>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</si>
  <si>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</si>
  <si>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</si>
  <si>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</si>
  <si>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</si>
  <si>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</si>
  <si>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</si>
  <si>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</si>
  <si>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</si>
  <si>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</si>
  <si>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</si>
  <si>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</si>
  <si>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</si>
  <si>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</si>
  <si>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</si>
  <si>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</si>
  <si>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</si>
  <si>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</si>
  <si>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</si>
  <si>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</si>
  <si>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</si>
  <si>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</si>
  <si>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</si>
  <si>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</si>
  <si>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</si>
  <si>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</si>
  <si>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</si>
  <si>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</si>
  <si>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</si>
  <si>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</si>
  <si>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</si>
  <si>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</si>
  <si>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</si>
  <si>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</si>
  <si>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</si>
  <si>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</si>
  <si>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</si>
  <si>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</si>
  <si>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</si>
  <si>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</si>
  <si>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</si>
  <si>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</si>
  <si>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</si>
  <si>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</si>
  <si>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</si>
  <si>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</si>
  <si>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</si>
  <si>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</si>
  <si>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</si>
  <si>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</si>
  <si>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</si>
  <si>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</si>
  <si>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</si>
  <si>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</si>
  <si>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</si>
  <si>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</si>
  <si>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</si>
  <si>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</si>
  <si>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</si>
  <si>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</si>
  <si>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</si>
  <si>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</si>
  <si>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</si>
  <si>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</si>
  <si>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</si>
  <si>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</si>
  <si>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</si>
  <si>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</si>
  <si>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</si>
  <si>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</si>
  <si>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</si>
  <si>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</si>
  <si>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</si>
  <si>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</si>
  <si>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</si>
  <si>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</si>
  <si>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</si>
  <si>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</si>
  <si>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</si>
  <si>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</si>
  <si>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</si>
  <si>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</si>
  <si>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</si>
  <si>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</si>
  <si>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</si>
  <si>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</si>
  <si>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</si>
  <si>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</si>
  <si>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</si>
  <si>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</si>
  <si>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</si>
  <si>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</si>
  <si>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</si>
  <si>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</si>
  <si>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</si>
  <si>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</si>
  <si>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</si>
  <si>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</si>
  <si>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</si>
  <si>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</si>
  <si>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</si>
  <si>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</si>
  <si>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</si>
  <si>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</si>
  <si>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</si>
  <si>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</si>
  <si>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</si>
  <si>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</si>
  <si>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</si>
  <si>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</si>
  <si>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</si>
  <si>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</si>
  <si>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</si>
  <si>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</si>
  <si>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</si>
  <si>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</si>
  <si>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</si>
  <si>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</si>
  <si>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</si>
  <si>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</si>
  <si>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</si>
  <si>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</si>
  <si>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</si>
  <si>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</si>
  <si>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</si>
  <si>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</si>
  <si>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</si>
  <si>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</si>
  <si>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</si>
  <si>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</si>
  <si>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</si>
  <si>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</si>
  <si>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</si>
  <si>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</si>
  <si>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</si>
  <si>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</si>
  <si>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</si>
  <si>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</si>
  <si>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</si>
  <si>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</si>
  <si>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</si>
  <si>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</si>
  <si>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</si>
  <si>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</si>
  <si>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</si>
  <si>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</si>
  <si>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</si>
  <si>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</si>
  <si>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</si>
  <si>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</si>
  <si>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</si>
  <si>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</si>
  <si>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</si>
  <si>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</si>
  <si>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</si>
  <si>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</si>
  <si>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</si>
  <si>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</si>
  <si>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</si>
  <si>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</si>
  <si>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</si>
  <si>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</si>
  <si>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</si>
  <si>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</si>
  <si>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</si>
  <si>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</si>
  <si>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</si>
  <si>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</si>
  <si>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</si>
  <si>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</si>
  <si>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</si>
  <si>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</si>
  <si>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</si>
  <si>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</si>
  <si>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</si>
  <si>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</si>
  <si>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</si>
  <si>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</si>
  <si>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</si>
  <si>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</si>
  <si>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</si>
  <si>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</si>
  <si>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</si>
  <si>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</si>
  <si>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</si>
  <si>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</si>
  <si>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</si>
  <si>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</si>
  <si>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</si>
  <si>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</si>
  <si>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</si>
  <si>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</si>
  <si>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</si>
  <si>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</si>
  <si>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</si>
  <si>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</si>
  <si>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</si>
  <si>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</si>
  <si>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</si>
  <si>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</si>
  <si>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</si>
  <si>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</si>
  <si>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</si>
  <si>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</si>
  <si>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</si>
  <si>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</si>
  <si>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</si>
  <si>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</si>
  <si>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</si>
  <si>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</si>
  <si>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</si>
  <si>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</si>
  <si>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</si>
  <si>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</si>
  <si>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</si>
  <si>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</si>
  <si>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</si>
  <si>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</si>
  <si>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</si>
  <si>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</si>
  <si>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</si>
  <si>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</si>
  <si>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</si>
  <si>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</si>
  <si>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</si>
  <si>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</si>
  <si>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</si>
  <si>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</si>
  <si>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</si>
  <si>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</si>
  <si>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</si>
  <si>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</si>
  <si>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</si>
  <si>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</si>
  <si>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</si>
  <si>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</si>
  <si>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</si>
  <si>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</si>
  <si>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</si>
  <si>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</si>
  <si>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</si>
  <si>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</si>
  <si>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</si>
  <si>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</si>
  <si>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</si>
  <si>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</si>
  <si>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</si>
  <si>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</si>
  <si>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</si>
  <si>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</si>
  <si>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</si>
  <si>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</si>
  <si>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</si>
  <si>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</si>
  <si>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</si>
  <si>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</si>
  <si>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</si>
  <si>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</si>
  <si>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</si>
  <si>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</si>
  <si>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</si>
  <si>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</si>
  <si>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</si>
  <si>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</si>
  <si>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</si>
  <si>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</si>
  <si>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</si>
  <si>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</si>
  <si>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</si>
  <si>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</si>
  <si>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</si>
  <si>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</si>
  <si>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</si>
  <si>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</si>
  <si>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</si>
  <si>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</si>
  <si>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</si>
  <si>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</si>
  <si>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</si>
  <si>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</si>
  <si>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</si>
  <si>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</si>
  <si>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</si>
  <si>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</si>
  <si>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</si>
  <si>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</si>
  <si>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</si>
  <si>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</si>
  <si>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</si>
  <si>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</si>
  <si>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</si>
  <si>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</si>
  <si>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</si>
  <si>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</si>
  <si>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</si>
  <si>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</si>
  <si>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</si>
  <si>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</si>
  <si>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</si>
  <si>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</si>
  <si>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</si>
  <si>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</si>
  <si>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</si>
  <si>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</si>
  <si>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</si>
  <si>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</si>
  <si>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</si>
  <si>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</si>
  <si>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</si>
  <si>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</si>
  <si>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</si>
  <si>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</si>
  <si>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</si>
  <si>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</si>
  <si>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</si>
  <si>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</si>
  <si>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</si>
  <si>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</si>
  <si>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</si>
  <si>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</si>
  <si>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</si>
  <si>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</si>
  <si>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</si>
  <si>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</si>
  <si>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</si>
  <si>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</si>
  <si>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</si>
  <si>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</si>
  <si>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</si>
  <si>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</si>
  <si>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</si>
  <si>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</si>
  <si>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</si>
  <si>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</si>
  <si>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</si>
  <si>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</si>
  <si>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</si>
  <si>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</si>
  <si>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</si>
  <si>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</si>
  <si>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</si>
  <si>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</si>
  <si>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</si>
  <si>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</si>
  <si>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</si>
  <si>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</si>
  <si>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</si>
  <si>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</si>
  <si>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</si>
  <si>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</si>
  <si>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</si>
  <si>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</si>
  <si>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</si>
  <si>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</si>
  <si>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</si>
  <si>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</si>
  <si>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</si>
  <si>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</si>
  <si>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</si>
  <si>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</si>
  <si>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</si>
  <si>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</si>
  <si>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</si>
  <si>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</si>
  <si>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</si>
  <si>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</si>
  <si>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</si>
  <si>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</si>
  <si>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</si>
  <si>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</si>
  <si>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</si>
  <si>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</si>
  <si>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</si>
  <si>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</si>
  <si>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</si>
  <si>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</si>
  <si>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</si>
  <si>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</si>
  <si>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</si>
  <si>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</si>
  <si>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</si>
  <si>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</si>
  <si>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</si>
  <si>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</si>
  <si>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</si>
  <si>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</si>
  <si>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</si>
  <si>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</si>
  <si>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</si>
  <si>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</si>
  <si>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</si>
  <si>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</si>
  <si>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</si>
  <si>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</si>
  <si>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</si>
  <si>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</si>
  <si>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</si>
  <si>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</si>
  <si>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</si>
  <si>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</si>
  <si>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</si>
  <si>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</si>
  <si>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</si>
  <si>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</si>
  <si>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</si>
  <si>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</si>
  <si>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</si>
  <si>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</si>
  <si>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</si>
  <si>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</si>
  <si>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</si>
  <si>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</si>
  <si>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</si>
  <si>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</si>
  <si>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</si>
  <si>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</si>
  <si>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</si>
  <si>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</si>
  <si>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</si>
  <si>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</si>
  <si>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</si>
  <si>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</si>
  <si>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</si>
  <si>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</si>
  <si>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</si>
  <si>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</si>
  <si>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</si>
  <si>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</si>
  <si>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</si>
  <si>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</si>
  <si>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</si>
  <si>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</si>
  <si>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</si>
  <si>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</si>
  <si>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</si>
  <si>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</si>
  <si>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</si>
  <si>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</si>
  <si>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</si>
  <si>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</si>
  <si>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</si>
  <si>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</si>
  <si>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</si>
  <si>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</si>
  <si>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</si>
  <si>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</si>
  <si>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</si>
  <si>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</si>
  <si>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</si>
  <si>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</si>
  <si>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</si>
  <si>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</si>
  <si>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</si>
  <si>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</si>
  <si>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</si>
  <si>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</si>
  <si>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</si>
  <si>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</si>
  <si>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</si>
  <si>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</si>
  <si>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</si>
  <si>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</si>
  <si>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</si>
  <si>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</si>
  <si>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</si>
  <si>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</si>
  <si>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</si>
  <si>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</si>
  <si>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</si>
  <si>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</si>
  <si>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</si>
  <si>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</si>
  <si>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</si>
  <si>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</si>
  <si>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</si>
  <si>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</si>
  <si>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</si>
  <si>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</si>
  <si>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</si>
  <si>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</si>
  <si>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</si>
  <si>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</si>
  <si>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</si>
  <si>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</si>
  <si>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</si>
  <si>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</si>
  <si>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</si>
  <si>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</si>
  <si>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</si>
  <si>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</si>
  <si>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</si>
  <si>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</si>
  <si>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</si>
  <si>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</si>
  <si>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</si>
  <si>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</si>
  <si>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</si>
  <si>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</si>
  <si>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</si>
  <si>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</si>
  <si>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</si>
  <si>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</si>
  <si>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</si>
  <si>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</si>
  <si>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</si>
  <si>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</si>
  <si>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</si>
  <si>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</si>
  <si>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</si>
  <si>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</si>
  <si>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</si>
  <si>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</si>
  <si>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</si>
  <si>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</si>
  <si>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</si>
  <si>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</si>
  <si>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</si>
  <si>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</si>
  <si>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</si>
  <si>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</si>
  <si>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</si>
  <si>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</si>
  <si>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</si>
  <si>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</si>
  <si>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</si>
  <si>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</si>
  <si>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</si>
  <si>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</si>
  <si>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</si>
  <si>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</si>
  <si>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</si>
  <si>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</si>
  <si>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</si>
  <si>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</si>
  <si>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</si>
  <si>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</si>
  <si>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</si>
  <si>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</si>
  <si>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</si>
  <si>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</si>
  <si>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</si>
  <si>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</si>
  <si>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</si>
  <si>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</si>
  <si>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</si>
  <si>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</si>
  <si>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</si>
  <si>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</si>
  <si>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</si>
  <si>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</si>
  <si>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</si>
  <si>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</si>
  <si>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</si>
  <si>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</si>
  <si>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</si>
  <si>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</si>
  <si>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</si>
  <si>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</si>
  <si>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</si>
  <si>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</si>
  <si>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</si>
  <si>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</si>
  <si>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</si>
  <si>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</si>
  <si>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</si>
  <si>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</si>
  <si>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</si>
  <si>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</si>
  <si>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</si>
  <si>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</si>
  <si>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</si>
  <si>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</si>
  <si>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</si>
  <si>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</si>
  <si>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</si>
  <si>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</si>
  <si>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</si>
  <si>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</si>
  <si>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</si>
  <si>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</si>
  <si>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</si>
  <si>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</si>
  <si>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</si>
  <si>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</si>
  <si>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</si>
  <si>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</si>
  <si>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</si>
  <si>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</si>
  <si>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</si>
  <si>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</si>
  <si>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</si>
  <si>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</si>
  <si>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</si>
  <si>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</si>
  <si>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</si>
  <si>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</si>
  <si>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</si>
  <si>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</si>
  <si>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</si>
  <si>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</si>
  <si>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</si>
  <si>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</si>
  <si>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</si>
  <si>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</si>
  <si>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</si>
  <si>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</si>
  <si>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</si>
  <si>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</si>
  <si>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</si>
  <si>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</si>
  <si>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</si>
  <si>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</si>
  <si>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</si>
  <si>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</si>
  <si>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</si>
  <si>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</si>
  <si>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</si>
  <si>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</si>
  <si>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</si>
  <si>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</si>
  <si>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</si>
  <si>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</si>
  <si>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</si>
  <si>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</si>
  <si>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</si>
  <si>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</si>
  <si>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</si>
  <si>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</si>
  <si>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</si>
  <si>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</si>
  <si>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</si>
  <si>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</si>
  <si>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</si>
  <si>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</si>
  <si>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</si>
  <si>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</si>
  <si>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</si>
  <si>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</si>
  <si>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</si>
  <si>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</si>
  <si>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</si>
  <si>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</si>
  <si>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</si>
  <si>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</si>
  <si>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</si>
  <si>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</si>
  <si>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</si>
  <si>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</si>
  <si>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</si>
  <si>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</si>
  <si>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</si>
  <si>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</si>
  <si>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</si>
  <si>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</si>
  <si>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</si>
  <si>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</si>
  <si>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</si>
  <si>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</si>
  <si>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</si>
  <si>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</si>
  <si>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</si>
  <si>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</si>
  <si>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</si>
  <si>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</si>
  <si>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</si>
  <si>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</si>
  <si>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</si>
  <si>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</si>
  <si>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</si>
  <si>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</si>
  <si>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</si>
  <si>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</si>
  <si>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</si>
  <si>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</si>
  <si>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</si>
  <si>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</si>
  <si>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</si>
  <si>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</si>
  <si>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</si>
  <si>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</si>
  <si>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</si>
  <si>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</si>
  <si>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</si>
  <si>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</si>
  <si>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</si>
  <si>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</si>
  <si>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</si>
  <si>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</si>
  <si>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</si>
  <si>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</si>
  <si>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</si>
  <si>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</si>
  <si>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</si>
  <si>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</si>
  <si>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</si>
  <si>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</si>
  <si>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</si>
  <si>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</si>
  <si>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</si>
  <si>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</si>
  <si>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</si>
  <si>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</si>
  <si>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</si>
  <si>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</si>
  <si>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</si>
  <si>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</si>
  <si>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</si>
  <si>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</si>
  <si>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</si>
  <si>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</si>
  <si>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</si>
  <si>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</si>
  <si>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</si>
  <si>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</si>
  <si>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</si>
  <si>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</si>
  <si>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</si>
  <si>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</si>
  <si>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</si>
  <si>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</si>
  <si>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</si>
  <si>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</si>
  <si>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</si>
  <si>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</si>
  <si>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</si>
  <si>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</si>
  <si>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</si>
  <si>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</si>
  <si>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</si>
  <si>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</si>
  <si>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</si>
  <si>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</si>
  <si>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</si>
  <si>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</si>
  <si>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</si>
  <si>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</si>
  <si>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</si>
  <si>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</si>
  <si>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</si>
  <si>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</si>
  <si>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</si>
  <si>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</si>
  <si>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</si>
  <si>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</si>
  <si>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</si>
  <si>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</si>
  <si>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</si>
  <si>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</si>
  <si>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</si>
  <si>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</si>
  <si>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</si>
  <si>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</si>
  <si>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</si>
  <si>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</si>
  <si>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</si>
  <si>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</si>
  <si>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</si>
  <si>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</si>
  <si>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</si>
  <si>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</si>
  <si>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</si>
  <si>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</si>
  <si>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</si>
  <si>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</si>
  <si>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</si>
  <si>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</si>
  <si>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</si>
  <si>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</si>
  <si>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</si>
  <si>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</si>
  <si>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</si>
  <si>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</si>
  <si>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</si>
  <si>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</si>
  <si>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</si>
  <si>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</si>
  <si>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</si>
  <si>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</si>
  <si>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</si>
  <si>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</si>
  <si>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</si>
  <si>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</si>
  <si>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</si>
  <si>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</si>
  <si>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</si>
  <si>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</si>
  <si>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</si>
  <si>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</si>
  <si>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</si>
  <si>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</si>
  <si>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</si>
  <si>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</si>
  <si>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</si>
  <si>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</si>
  <si>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</si>
  <si>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</si>
  <si>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</si>
  <si>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</si>
  <si>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</si>
  <si>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</si>
  <si>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</si>
  <si>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</si>
  <si>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</si>
  <si>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</si>
  <si>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</si>
  <si>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</si>
  <si>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</si>
  <si>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</si>
  <si>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</si>
  <si>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</si>
  <si>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</si>
  <si>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</si>
  <si>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</si>
  <si>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</si>
  <si>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</si>
  <si>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</si>
  <si>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</si>
  <si>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</si>
  <si>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</si>
  <si>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</si>
  <si>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</si>
  <si>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</si>
  <si>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</si>
  <si>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</si>
  <si>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</si>
  <si>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</si>
  <si>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</si>
  <si>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</si>
  <si>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</si>
  <si>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</si>
  <si>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</si>
  <si>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</si>
  <si>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</si>
  <si>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</si>
  <si>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</si>
  <si>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</si>
  <si>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</si>
  <si>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</si>
  <si>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</si>
  <si>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</si>
  <si>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</si>
  <si>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</si>
  <si>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</si>
  <si>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</si>
  <si>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</si>
  <si>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</si>
  <si>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</si>
  <si>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</si>
  <si>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</si>
  <si>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</si>
  <si>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</si>
  <si>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</si>
  <si>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</si>
  <si>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</si>
  <si>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</si>
  <si>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</si>
  <si>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</si>
  <si>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</si>
  <si>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</si>
  <si>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</si>
  <si>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</si>
  <si>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</si>
  <si>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</si>
  <si>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</si>
  <si>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</si>
  <si>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</si>
  <si>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</si>
  <si>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</si>
  <si>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</si>
  <si>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</si>
  <si>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</si>
  <si>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</si>
  <si>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</si>
  <si>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</si>
  <si>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</si>
  <si>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</si>
  <si>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</si>
  <si>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</si>
  <si>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</si>
  <si>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</si>
  <si>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</si>
  <si>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</si>
  <si>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</si>
  <si>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</si>
  <si>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</si>
  <si>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</si>
  <si>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</si>
  <si>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</si>
  <si>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</si>
  <si>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</si>
  <si>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</si>
  <si>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</si>
  <si>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</si>
  <si>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</si>
  <si>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</si>
  <si>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</si>
  <si>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</si>
  <si>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</si>
  <si>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</si>
  <si>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</si>
  <si>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</si>
  <si>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</si>
  <si>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</si>
  <si>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</si>
  <si>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</si>
  <si>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</si>
  <si>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</si>
  <si>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</si>
  <si>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</si>
  <si>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</si>
  <si>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</si>
  <si>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</si>
  <si>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</si>
  <si>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</si>
  <si>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</si>
  <si>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</si>
  <si>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</si>
  <si>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</si>
  <si>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</si>
  <si>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</si>
  <si>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</si>
  <si>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</si>
  <si>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</si>
  <si>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</si>
  <si>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</si>
  <si>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</si>
  <si>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</si>
  <si>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</si>
  <si>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</si>
  <si>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</si>
  <si>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</si>
  <si>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</si>
  <si>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</si>
  <si>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</si>
  <si>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</si>
  <si>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</si>
  <si>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</si>
  <si>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</si>
  <si>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</si>
  <si>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</si>
  <si>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</si>
  <si>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</si>
  <si>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</si>
  <si>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</si>
  <si>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</si>
  <si>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</si>
  <si>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</si>
  <si>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</si>
  <si>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</si>
  <si>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</si>
  <si>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</si>
  <si>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</si>
  <si>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</si>
  <si>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</si>
  <si>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</si>
  <si>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</si>
  <si>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</si>
  <si>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</si>
  <si>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</si>
  <si>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</si>
  <si>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</si>
  <si>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</si>
  <si>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</si>
  <si>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</si>
  <si>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</si>
  <si>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</si>
  <si>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</si>
  <si>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</si>
  <si>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</si>
  <si>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</si>
  <si>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</si>
  <si>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</si>
  <si>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</si>
  <si>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</si>
  <si>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</si>
  <si>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</si>
  <si>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</si>
  <si>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</si>
  <si>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</si>
  <si>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</si>
  <si>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</si>
  <si>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</si>
  <si>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</si>
  <si>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</si>
  <si>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</si>
  <si>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</si>
  <si>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</si>
  <si>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</si>
  <si>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</si>
  <si>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</si>
  <si>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</si>
  <si>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</si>
  <si>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</si>
  <si>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</si>
  <si>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</si>
  <si>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</si>
  <si>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</si>
  <si>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</si>
  <si>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</si>
  <si>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</si>
  <si>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</si>
  <si>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</si>
  <si>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</si>
  <si>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</si>
  <si>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</si>
  <si>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</si>
  <si>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</si>
  <si>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</si>
  <si>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</si>
  <si>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</si>
  <si>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</si>
  <si>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</si>
  <si>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</si>
  <si>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</si>
  <si>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</si>
  <si>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</si>
  <si>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</si>
  <si>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</si>
  <si>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</si>
  <si>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</si>
  <si>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</si>
  <si>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</si>
  <si>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</si>
  <si>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</si>
  <si>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</si>
  <si>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</si>
  <si>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</si>
  <si>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</si>
  <si>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</si>
  <si>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</si>
  <si>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</si>
  <si>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</si>
  <si>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</si>
  <si>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</si>
  <si>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</si>
  <si>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</si>
  <si>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</si>
  <si>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</si>
  <si>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</si>
  <si>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</si>
  <si>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</si>
  <si>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</si>
  <si>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</si>
  <si>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</si>
  <si>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</si>
  <si>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</si>
  <si>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</si>
  <si>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</si>
  <si>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</si>
  <si>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</si>
  <si>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</si>
  <si>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</si>
  <si>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</si>
  <si>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</si>
  <si>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</si>
  <si>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</si>
  <si>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</si>
  <si>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</si>
  <si>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</si>
  <si>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</si>
  <si>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</si>
  <si>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</si>
  <si>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</si>
  <si>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</si>
  <si>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</si>
  <si>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</si>
  <si>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</si>
  <si>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</si>
  <si>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</si>
  <si>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</si>
  <si>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</si>
  <si>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</si>
  <si>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</si>
  <si>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</si>
  <si>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</si>
  <si>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</si>
  <si>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</si>
  <si>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</si>
  <si>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</si>
  <si>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</si>
  <si>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</si>
  <si>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</si>
  <si>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</si>
  <si>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</si>
  <si>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</si>
  <si>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</si>
  <si>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</si>
  <si>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</si>
  <si>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</si>
  <si>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</si>
  <si>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</si>
  <si>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</si>
  <si>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</si>
  <si>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</si>
  <si>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</si>
  <si>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</si>
  <si>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</si>
  <si>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</si>
  <si>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</si>
  <si>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</si>
  <si>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</si>
  <si>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</si>
  <si>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</si>
  <si>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</si>
  <si>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</si>
  <si>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</si>
  <si>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</si>
  <si>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</si>
  <si>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</si>
  <si>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</si>
  <si>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</si>
  <si>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</si>
  <si>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</si>
  <si>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</si>
  <si>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</si>
  <si>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</si>
  <si>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</si>
  <si>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</si>
  <si>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</si>
  <si>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</si>
  <si>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</si>
  <si>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</si>
  <si>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</si>
  <si>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</si>
  <si>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</si>
  <si>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</si>
  <si>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</si>
  <si>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</si>
  <si>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</si>
  <si>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</si>
  <si>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</si>
  <si>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</si>
  <si>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</si>
  <si>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</si>
  <si>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</si>
  <si>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</si>
  <si>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</si>
  <si>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</si>
  <si>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</si>
  <si>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</si>
  <si>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</si>
  <si>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</si>
  <si>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</si>
  <si>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</si>
  <si>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</si>
  <si>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</si>
  <si>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</si>
  <si>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</si>
  <si>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</si>
  <si>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</si>
  <si>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</si>
  <si>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</si>
  <si>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</si>
  <si>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</si>
  <si>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</si>
  <si>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</si>
  <si>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</si>
  <si>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</si>
  <si>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</si>
  <si>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</si>
  <si>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</si>
  <si>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</si>
  <si>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</si>
  <si>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</si>
  <si>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</si>
  <si>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</si>
  <si>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</si>
  <si>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</si>
  <si>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</si>
  <si>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</si>
  <si>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</si>
  <si>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</si>
  <si>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</si>
  <si>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</si>
  <si>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</si>
  <si>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</si>
  <si>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</si>
  <si>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</si>
  <si>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</si>
  <si>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</si>
  <si>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</si>
  <si>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</si>
  <si>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</si>
  <si>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</si>
  <si>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</si>
  <si>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</si>
  <si>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</si>
  <si>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</si>
  <si>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</si>
  <si>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</si>
  <si>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</si>
  <si>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</si>
  <si>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</si>
  <si>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</si>
  <si>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</si>
  <si>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</si>
  <si>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</si>
  <si>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</si>
  <si>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</si>
  <si>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</si>
  <si>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</si>
  <si>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</si>
  <si>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</si>
  <si>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</si>
  <si>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</si>
  <si>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</si>
  <si>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</si>
  <si>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</si>
  <si>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</si>
  <si>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</si>
  <si>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</si>
  <si>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</si>
  <si>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</si>
  <si>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</si>
  <si>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</si>
  <si>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</si>
  <si>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</si>
  <si>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</si>
  <si>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</si>
  <si>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</si>
  <si>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</si>
  <si>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</si>
  <si>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</si>
  <si>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</si>
  <si>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</si>
  <si>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</si>
  <si>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</si>
  <si>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</si>
  <si>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</si>
  <si>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</si>
  <si>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</si>
  <si>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</si>
  <si>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</si>
  <si>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</si>
  <si>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</si>
  <si>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</si>
  <si>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</si>
  <si>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</si>
  <si>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</si>
  <si>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</si>
  <si>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</si>
  <si>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</si>
  <si>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</si>
  <si>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</si>
  <si>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</si>
  <si>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</si>
  <si>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</si>
  <si>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</si>
  <si>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</si>
  <si>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</si>
  <si>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</si>
  <si>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</si>
  <si>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</si>
  <si>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</si>
  <si>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</si>
  <si>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</si>
  <si>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</si>
  <si>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</si>
  <si>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</si>
  <si>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</si>
  <si>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</si>
  <si>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</si>
  <si>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</si>
  <si>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</si>
  <si>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</si>
  <si>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</si>
  <si>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</si>
  <si>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</si>
  <si>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</si>
  <si>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</si>
  <si>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</si>
  <si>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</si>
  <si>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</si>
  <si>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</si>
  <si>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</si>
  <si>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</si>
  <si>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</si>
  <si>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</si>
  <si>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</si>
  <si>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</si>
  <si>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</si>
  <si>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</si>
  <si>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</si>
  <si>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</si>
  <si>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</si>
  <si>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</si>
  <si>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</si>
  <si>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</si>
  <si>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</si>
  <si>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</si>
  <si>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</si>
  <si>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</si>
  <si>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</si>
  <si>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</si>
  <si>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</si>
  <si>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</si>
  <si>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</si>
  <si>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</si>
  <si>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</si>
  <si>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</si>
  <si>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</si>
  <si>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</si>
  <si>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</si>
  <si>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</si>
  <si>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</si>
  <si>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</si>
  <si>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</si>
  <si>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</si>
  <si>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</si>
  <si>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</si>
  <si>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</si>
  <si>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</si>
  <si>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</si>
  <si>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</si>
  <si>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</si>
  <si>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</si>
  <si>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</si>
  <si>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</si>
  <si>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</si>
  <si>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</si>
  <si>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</si>
  <si>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</si>
  <si>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</si>
  <si>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</si>
  <si>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</si>
  <si>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</si>
  <si>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</si>
  <si>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</si>
  <si>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</si>
  <si>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</si>
  <si>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</si>
  <si>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</si>
  <si>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</si>
  <si>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</si>
  <si>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</si>
  <si>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</si>
  <si>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</si>
  <si>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</si>
  <si>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</si>
  <si>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</si>
  <si>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</si>
  <si>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</si>
  <si>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</si>
  <si>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</si>
  <si>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</si>
  <si>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</si>
  <si>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</si>
  <si>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</si>
  <si>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</si>
  <si>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</si>
  <si>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</si>
  <si>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</si>
  <si>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</si>
  <si>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</si>
  <si>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</si>
  <si>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</si>
  <si>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</si>
  <si>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</si>
  <si>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</si>
  <si>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</si>
  <si>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</si>
  <si>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</si>
  <si>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</si>
  <si>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</si>
  <si>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</si>
  <si>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</si>
  <si>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</si>
  <si>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</si>
  <si>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</si>
  <si>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</si>
  <si>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</si>
  <si>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</si>
  <si>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</si>
  <si>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</si>
  <si>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</si>
  <si>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</si>
  <si>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</si>
  <si>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</si>
  <si>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</si>
  <si>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</si>
  <si>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</si>
  <si>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</si>
  <si>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</si>
  <si>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</si>
  <si>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</si>
  <si>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</si>
  <si>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</si>
  <si>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</si>
  <si>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</si>
  <si>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</si>
  <si>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</si>
  <si>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</si>
  <si>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</si>
  <si>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</si>
  <si>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</si>
  <si>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</si>
  <si>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</si>
  <si>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</si>
  <si>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</si>
  <si>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</si>
  <si>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</si>
  <si>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</si>
  <si>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</si>
  <si>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</si>
  <si>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</si>
  <si>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</si>
  <si>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</si>
  <si>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</si>
  <si>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</si>
  <si>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</si>
  <si>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</si>
  <si>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</si>
  <si>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</si>
  <si>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</si>
  <si>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</si>
  <si>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</si>
  <si>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</si>
  <si>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</si>
  <si>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</si>
  <si>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</si>
  <si>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</si>
  <si>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</si>
  <si>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</si>
  <si>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</si>
  <si>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</si>
  <si>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</si>
  <si>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</si>
  <si>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</si>
  <si>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</si>
  <si>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</si>
  <si>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</si>
  <si>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</si>
  <si>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</si>
  <si>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</si>
  <si>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</si>
  <si>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</si>
  <si>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</si>
  <si>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</si>
  <si>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</si>
  <si>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</si>
  <si>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</si>
  <si>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</si>
  <si>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</si>
  <si>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</si>
  <si>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</si>
  <si>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</si>
  <si>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</si>
  <si>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</si>
  <si>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</si>
  <si>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</si>
  <si>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</si>
  <si>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</si>
  <si>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</si>
  <si>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</si>
  <si>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</si>
  <si>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</si>
  <si>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</si>
  <si>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</si>
  <si>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</si>
  <si>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</si>
  <si>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</si>
  <si>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</si>
  <si>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</si>
  <si>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</si>
  <si>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</si>
  <si>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</si>
  <si>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</si>
  <si>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</si>
  <si>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</si>
  <si>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</si>
  <si>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</si>
  <si>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</si>
  <si>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</si>
  <si>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</si>
  <si>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</si>
  <si>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</si>
  <si>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</si>
  <si>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</si>
  <si>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</si>
  <si>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</si>
  <si>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</si>
  <si>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</si>
  <si>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</si>
  <si>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</si>
  <si>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</si>
  <si>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</si>
  <si>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</si>
  <si>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</si>
  <si>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</si>
  <si>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</si>
  <si>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</si>
  <si>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</si>
  <si>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</si>
  <si>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</si>
  <si>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</si>
  <si>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</si>
  <si>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</si>
  <si>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</si>
  <si>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</si>
  <si>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</si>
  <si>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</si>
  <si>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</si>
  <si>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</si>
  <si>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</si>
  <si>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</si>
  <si>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</si>
  <si>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</si>
  <si>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</si>
  <si>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</si>
  <si>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</si>
  <si>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</si>
  <si>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</si>
  <si>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</si>
  <si>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</si>
  <si>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</si>
  <si>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</si>
  <si>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</si>
  <si>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</si>
  <si>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</si>
  <si>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</si>
  <si>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</si>
  <si>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</si>
  <si>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</si>
  <si>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</si>
  <si>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</si>
  <si>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</si>
  <si>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</si>
  <si>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</si>
  <si>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</si>
  <si>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</si>
  <si>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</si>
  <si>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</si>
  <si>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</si>
  <si>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</si>
  <si>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</si>
  <si>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</si>
  <si>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</si>
  <si>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</si>
  <si>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</si>
  <si>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</si>
  <si>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</si>
  <si>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</si>
  <si>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</si>
  <si>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</si>
  <si>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</si>
  <si>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</si>
  <si>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</si>
  <si>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</si>
  <si>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</si>
  <si>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</si>
  <si>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</si>
  <si>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</si>
  <si>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</si>
  <si>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</si>
  <si>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</si>
  <si>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</si>
  <si>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</si>
  <si>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</si>
  <si>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</si>
  <si>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</si>
  <si>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</si>
  <si>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</si>
  <si>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</si>
  <si>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</si>
  <si>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</si>
  <si>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</si>
  <si>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</si>
  <si>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</si>
  <si>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</si>
  <si>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</si>
  <si>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</si>
  <si>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</si>
  <si>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</si>
  <si>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</si>
  <si>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</si>
  <si>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</si>
  <si>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</si>
  <si>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</si>
  <si>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</si>
  <si>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</si>
  <si>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</si>
  <si>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</si>
  <si>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</si>
  <si>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</si>
  <si>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</si>
  <si>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</si>
  <si>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</si>
  <si>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</si>
  <si>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</si>
  <si>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</si>
  <si>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</si>
  <si>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</si>
  <si>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</si>
  <si>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</si>
  <si>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</si>
  <si>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</si>
  <si>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</si>
  <si>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</si>
  <si>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</si>
  <si>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</si>
  <si>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</si>
  <si>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</si>
  <si>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</si>
  <si>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</si>
  <si>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</si>
  <si>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</si>
  <si>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</si>
  <si>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</si>
  <si>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</si>
  <si>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</si>
  <si>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</si>
  <si>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</si>
  <si>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</si>
  <si>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</si>
  <si>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</si>
  <si>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</si>
  <si>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</si>
  <si>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</si>
  <si>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</si>
  <si>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</si>
  <si>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</si>
  <si>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</si>
  <si>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</si>
  <si>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</si>
  <si>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</si>
  <si>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</si>
  <si>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</si>
  <si>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</si>
  <si>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</si>
  <si>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</si>
  <si>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</si>
  <si>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</si>
  <si>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</si>
  <si>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</si>
  <si>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</si>
  <si>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</si>
  <si>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</si>
  <si>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</si>
  <si>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</si>
  <si>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</si>
  <si>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</si>
  <si>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</si>
  <si>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</si>
  <si>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</si>
  <si>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</si>
  <si>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</si>
  <si>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</si>
  <si>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</si>
  <si>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</si>
  <si>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</si>
  <si>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</si>
  <si>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</si>
  <si>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</si>
  <si>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</si>
  <si>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</si>
  <si>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</si>
  <si>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</si>
  <si>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</si>
  <si>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</si>
  <si>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</si>
  <si>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</si>
  <si>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</si>
  <si>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</si>
  <si>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</si>
  <si>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</si>
  <si>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</si>
  <si>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</si>
  <si>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</si>
  <si>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</si>
  <si>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</si>
  <si>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</si>
  <si>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</si>
  <si>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</si>
  <si>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</si>
  <si>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</si>
  <si>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</si>
  <si>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</si>
  <si>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</si>
  <si>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</si>
  <si>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</si>
  <si>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</si>
  <si>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</si>
  <si>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</si>
  <si>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</si>
  <si>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</si>
  <si>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</si>
  <si>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</si>
  <si>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</si>
  <si>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</si>
  <si>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</si>
  <si>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</si>
  <si>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</si>
  <si>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</si>
  <si>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</si>
  <si>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</si>
  <si>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</si>
  <si>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</si>
  <si>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</si>
  <si>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</si>
  <si>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</si>
  <si>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</si>
  <si>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</si>
  <si>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</si>
  <si>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</si>
  <si>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</si>
  <si>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</si>
  <si>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</si>
  <si>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</si>
  <si>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</si>
  <si>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</si>
  <si>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</si>
  <si>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</si>
  <si>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</si>
  <si>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</si>
  <si>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</si>
  <si>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</si>
  <si>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</si>
  <si>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</si>
  <si>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</si>
  <si>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</si>
  <si>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</si>
  <si>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</si>
  <si>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</si>
  <si>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</si>
  <si>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</si>
  <si>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</si>
  <si>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</si>
  <si>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</si>
  <si>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</si>
  <si>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</si>
  <si>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</si>
  <si>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</si>
  <si>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</si>
  <si>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</si>
  <si>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</si>
  <si>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</si>
  <si>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</si>
  <si>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</si>
  <si>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</si>
  <si>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</si>
  <si>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</si>
  <si>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</si>
  <si>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</si>
  <si>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</si>
  <si>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</si>
  <si>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</si>
  <si>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</si>
  <si>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</si>
  <si>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</si>
  <si>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</si>
  <si>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</si>
  <si>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</si>
  <si>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</si>
  <si>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</si>
  <si>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</si>
  <si>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</si>
  <si>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</si>
  <si>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</si>
  <si>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</si>
  <si>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</si>
  <si>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</si>
  <si>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</si>
  <si>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</si>
  <si>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</si>
  <si>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</si>
  <si>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</si>
  <si>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</si>
  <si>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</si>
  <si>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</si>
  <si>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</si>
  <si>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</si>
  <si>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</si>
  <si>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</si>
  <si>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</si>
  <si>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</si>
  <si>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</si>
  <si>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</si>
  <si>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</si>
  <si>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</si>
  <si>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</si>
  <si>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</si>
  <si>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</si>
  <si>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</si>
  <si>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</si>
  <si>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</si>
  <si>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</si>
  <si>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</si>
  <si>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</si>
  <si>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</si>
  <si>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</si>
  <si>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</si>
  <si>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</si>
  <si>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</si>
  <si>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</si>
  <si>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</si>
  <si>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</si>
  <si>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</si>
  <si>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</si>
  <si>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</si>
  <si>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</si>
  <si>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</si>
  <si>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</si>
  <si>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</si>
  <si>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</si>
  <si>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</si>
  <si>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</si>
  <si>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</si>
  <si>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</si>
  <si>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</si>
  <si>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</si>
  <si>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</si>
  <si>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</si>
  <si>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</si>
  <si>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</si>
  <si>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</si>
  <si>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</si>
  <si>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</si>
  <si>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</si>
  <si>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</si>
  <si>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</si>
  <si>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</si>
  <si>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</si>
  <si>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</si>
  <si>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</si>
  <si>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</si>
  <si>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</si>
  <si>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</si>
  <si>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</si>
  <si>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</si>
  <si>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</si>
  <si>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</si>
  <si>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</si>
  <si>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</si>
  <si>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</si>
  <si>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</si>
  <si>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</si>
  <si>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</si>
  <si>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</si>
  <si>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</si>
  <si>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</si>
  <si>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</si>
  <si>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</si>
  <si>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</si>
  <si>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</si>
  <si>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</si>
  <si>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</si>
  <si>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</si>
  <si>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</si>
  <si>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</si>
  <si>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</si>
  <si>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</si>
  <si>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</si>
  <si>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</si>
  <si>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</si>
  <si>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</si>
  <si>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</si>
  <si>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</si>
  <si>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</si>
  <si>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</si>
  <si>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</si>
  <si>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</si>
  <si>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</si>
  <si>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</si>
  <si>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</si>
  <si>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</si>
  <si>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</si>
  <si>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</si>
  <si>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</si>
  <si>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</si>
  <si>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</si>
  <si>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</si>
  <si>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</si>
  <si>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</si>
  <si>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</si>
  <si>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</si>
  <si>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</si>
  <si>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</si>
  <si>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</si>
  <si>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</si>
  <si>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</si>
  <si>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</si>
  <si>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</si>
  <si>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</si>
  <si>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</si>
  <si>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</si>
  <si>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</si>
  <si>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</si>
  <si>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</si>
  <si>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</si>
  <si>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</si>
  <si>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</si>
  <si>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</si>
  <si>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</si>
  <si>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</si>
  <si>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</si>
  <si>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</si>
  <si>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</si>
  <si>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</si>
  <si>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</si>
  <si>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</si>
  <si>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</si>
  <si>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</si>
  <si>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</si>
  <si>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</si>
  <si>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</si>
  <si>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</si>
  <si>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</si>
  <si>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</si>
  <si>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</si>
  <si>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</si>
  <si>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</si>
  <si>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</si>
  <si>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</si>
  <si>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</si>
  <si>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</si>
  <si>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</si>
  <si>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</si>
  <si>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</si>
  <si>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</si>
  <si>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</si>
  <si>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</si>
  <si>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</si>
  <si>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</si>
  <si>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</si>
  <si>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</si>
  <si>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</si>
  <si>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</si>
  <si>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</si>
  <si>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</si>
  <si>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</si>
  <si>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</si>
  <si>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</si>
  <si>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</si>
  <si>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</si>
  <si>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</si>
  <si>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</si>
  <si>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</si>
  <si>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</si>
  <si>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</si>
  <si>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</si>
  <si>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</si>
  <si>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</si>
  <si>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</si>
  <si>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</si>
  <si>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</si>
  <si>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</si>
  <si>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</si>
  <si>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</si>
  <si>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</si>
  <si>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</si>
  <si>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</si>
  <si>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</si>
  <si>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</si>
  <si>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</si>
  <si>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</si>
  <si>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</si>
  <si>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</si>
  <si>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</si>
  <si>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</si>
  <si>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</si>
  <si>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</si>
  <si>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</si>
  <si>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</si>
  <si>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</si>
  <si>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</si>
  <si>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</si>
  <si>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</si>
  <si>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</si>
  <si>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</si>
  <si>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</si>
  <si>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</si>
  <si>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</si>
  <si>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</si>
  <si>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</si>
  <si>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</si>
  <si>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</si>
  <si>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</si>
  <si>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</si>
  <si>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</si>
  <si>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</si>
  <si>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</si>
  <si>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</si>
  <si>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</si>
  <si>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</si>
  <si>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</si>
  <si>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</si>
  <si>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</si>
  <si>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</si>
  <si>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</si>
  <si>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</si>
  <si>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</si>
  <si>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</si>
  <si>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</si>
  <si>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</si>
  <si>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</si>
  <si>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</si>
  <si>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</si>
  <si>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</si>
  <si>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</si>
  <si>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</si>
  <si>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</si>
  <si>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</si>
  <si>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</si>
  <si>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</si>
  <si>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</si>
  <si>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</si>
  <si>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</si>
  <si>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</si>
  <si>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</si>
  <si>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</si>
  <si>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</si>
  <si>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</si>
  <si>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</si>
  <si>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</si>
  <si>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</si>
  <si>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</si>
  <si>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</si>
  <si>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</si>
  <si>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</si>
  <si>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</si>
  <si>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</si>
  <si>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</si>
  <si>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</si>
  <si>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</si>
  <si>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</si>
  <si>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</si>
  <si>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</si>
  <si>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</si>
  <si>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</si>
  <si>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</si>
  <si>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</si>
  <si>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</si>
  <si>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</si>
  <si>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</si>
  <si>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</si>
  <si>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</si>
  <si>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</si>
  <si>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</si>
  <si>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</si>
  <si>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</si>
  <si>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</si>
  <si>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</si>
  <si>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</si>
  <si>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</si>
  <si>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</si>
  <si>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</si>
  <si>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</si>
  <si>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</si>
  <si>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</si>
  <si>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</si>
  <si>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</si>
  <si>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</si>
  <si>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</si>
  <si>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</si>
  <si>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</si>
  <si>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</si>
  <si>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</si>
  <si>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</si>
  <si>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</si>
  <si>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</si>
  <si>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</si>
  <si>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</si>
  <si>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</si>
  <si>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</si>
  <si>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</si>
  <si>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</si>
  <si>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</si>
  <si>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</si>
  <si>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</si>
  <si>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</si>
  <si>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</si>
  <si>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</si>
  <si>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</si>
  <si>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</si>
  <si>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</si>
  <si>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</si>
  <si>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</si>
  <si>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</si>
  <si>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</si>
  <si>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</si>
  <si>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</si>
  <si>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</si>
  <si>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</si>
  <si>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</si>
  <si>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</si>
  <si>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</si>
  <si>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</si>
  <si>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</si>
  <si>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</si>
  <si>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</si>
  <si>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</si>
  <si>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</si>
  <si>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</si>
  <si>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</si>
  <si>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</si>
  <si>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</si>
  <si>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</si>
  <si>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</si>
  <si>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</si>
  <si>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</si>
  <si>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</si>
  <si>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</si>
  <si>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</si>
  <si>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</si>
  <si>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</si>
  <si>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</si>
  <si>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</si>
  <si>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</si>
  <si>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</si>
  <si>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</si>
  <si>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</si>
  <si>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</si>
  <si>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</si>
  <si>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</si>
  <si>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</si>
  <si>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</si>
  <si>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</si>
  <si>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</si>
  <si>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</si>
  <si>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</si>
  <si>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</si>
  <si>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</si>
  <si>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</si>
  <si>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</si>
  <si>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</si>
  <si>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</si>
  <si>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</si>
  <si>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</si>
  <si>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</si>
  <si>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</si>
  <si>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</si>
  <si>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</si>
  <si>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</si>
  <si>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</si>
  <si>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</si>
  <si>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</si>
  <si>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</si>
  <si>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</si>
  <si>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</si>
  <si>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</si>
  <si>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</si>
  <si>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</si>
  <si>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</si>
  <si>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</si>
  <si>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</si>
  <si>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</si>
  <si>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</si>
  <si>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</si>
  <si>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</si>
  <si>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</si>
  <si>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</si>
  <si>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</si>
  <si>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</si>
  <si>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</si>
  <si>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</si>
  <si>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</si>
  <si>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</si>
  <si>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</si>
  <si>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</si>
  <si>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</si>
  <si>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</si>
  <si>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</si>
  <si>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</si>
  <si>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</si>
  <si>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</si>
  <si>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</si>
  <si>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</si>
  <si>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</si>
  <si>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</si>
  <si>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</si>
  <si>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</si>
  <si>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</si>
  <si>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</si>
  <si>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</si>
  <si>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</si>
  <si>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</si>
  <si>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</si>
  <si>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</si>
  <si>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</si>
  <si>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</si>
  <si>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</si>
  <si>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</si>
  <si>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</si>
  <si>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</si>
  <si>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</si>
  <si>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</si>
  <si>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</si>
  <si>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</si>
  <si>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</si>
  <si>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</si>
  <si>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</si>
  <si>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</si>
  <si>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</si>
  <si>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</si>
  <si>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</si>
  <si>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</si>
  <si>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</si>
  <si>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</si>
  <si>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</si>
  <si>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</si>
  <si>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</si>
  <si>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</si>
  <si>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</si>
  <si>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</si>
  <si>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</si>
  <si>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</si>
  <si>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</si>
  <si>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</si>
  <si>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</si>
  <si>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</si>
  <si>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</si>
  <si>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</si>
  <si>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</si>
  <si>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</si>
  <si>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</si>
  <si>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</si>
  <si>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</si>
  <si>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</si>
  <si>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</si>
  <si>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</si>
  <si>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</si>
  <si>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</si>
  <si>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</si>
  <si>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</si>
  <si>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</si>
  <si>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</si>
  <si>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</si>
  <si>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</si>
  <si>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</si>
  <si>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</si>
  <si>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</si>
  <si>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</si>
  <si>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</si>
  <si>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</si>
  <si>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</si>
  <si>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</si>
  <si>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</si>
  <si>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</si>
  <si>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</si>
  <si>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</si>
  <si>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</si>
  <si>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</si>
  <si>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</si>
  <si>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</si>
  <si>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</si>
  <si>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</si>
  <si>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</si>
  <si>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</si>
  <si>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</si>
  <si>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</si>
  <si>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</si>
  <si>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</si>
  <si>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</si>
  <si>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</si>
  <si>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</si>
  <si>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</si>
  <si>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</si>
  <si>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</si>
  <si>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</si>
  <si>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</si>
  <si>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</si>
  <si>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</si>
  <si>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</si>
  <si>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</si>
  <si>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</si>
  <si>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</si>
  <si>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</si>
  <si>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</si>
  <si>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</si>
  <si>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</si>
  <si>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</si>
  <si>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</si>
  <si>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</si>
  <si>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</si>
  <si>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</si>
  <si>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</si>
  <si>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</si>
  <si>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</si>
  <si>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</si>
  <si>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</si>
  <si>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</si>
  <si>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</si>
  <si>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</si>
  <si>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</si>
  <si>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</si>
  <si>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</si>
  <si>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</si>
  <si>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</si>
  <si>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</si>
  <si>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</si>
  <si>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</si>
  <si>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</si>
  <si>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</si>
  <si>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</si>
  <si>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</si>
  <si>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</si>
  <si>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</si>
  <si>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</si>
  <si>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</si>
  <si>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</si>
  <si>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</si>
  <si>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</si>
  <si>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</si>
  <si>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</si>
  <si>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</si>
  <si>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</si>
  <si>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</si>
  <si>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</si>
  <si>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</si>
  <si>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</si>
  <si>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</si>
  <si>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</si>
  <si>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</si>
  <si>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</si>
  <si>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</si>
  <si>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</si>
  <si>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</si>
  <si>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</si>
  <si>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</si>
  <si>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</si>
  <si>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</si>
  <si>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</si>
  <si>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</si>
  <si>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</si>
  <si>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</si>
  <si>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</si>
  <si>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</si>
  <si>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</si>
  <si>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</si>
  <si>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</si>
  <si>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</si>
  <si>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</si>
  <si>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</si>
  <si>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</si>
  <si>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</si>
  <si>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</si>
  <si>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</si>
  <si>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</si>
  <si>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</si>
  <si>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</si>
  <si>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</si>
  <si>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</si>
  <si>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</si>
  <si>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</si>
  <si>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</si>
  <si>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</si>
  <si>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</si>
  <si>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</si>
  <si>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</si>
  <si>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</si>
  <si>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</si>
  <si>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</si>
  <si>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</si>
  <si>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</si>
  <si>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</si>
  <si>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</si>
  <si>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</si>
  <si>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</si>
  <si>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</si>
  <si>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</si>
  <si>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</si>
  <si>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</si>
  <si>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</si>
  <si>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</si>
  <si>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</si>
  <si>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</si>
  <si>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</si>
  <si>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</si>
  <si>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</si>
  <si>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</si>
  <si>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</si>
  <si>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</si>
  <si>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</si>
  <si>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</si>
  <si>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</si>
  <si>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</si>
  <si>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</si>
  <si>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</si>
  <si>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</si>
  <si>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</si>
  <si>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</si>
  <si>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</si>
  <si>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</si>
  <si>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</si>
  <si>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</si>
  <si>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</si>
  <si>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</si>
  <si>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</si>
  <si>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</si>
  <si>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</si>
  <si>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</si>
  <si>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</si>
  <si>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</si>
  <si>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</si>
  <si>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</si>
  <si>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</si>
  <si>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</si>
  <si>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</si>
  <si>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</si>
  <si>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</si>
  <si>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</si>
  <si>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</si>
  <si>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</si>
  <si>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</si>
  <si>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</si>
  <si>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</si>
  <si>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</si>
  <si>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</si>
  <si>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</si>
  <si>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</si>
  <si>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</si>
  <si>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</si>
  <si>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</si>
  <si>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</si>
  <si>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</si>
  <si>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</si>
  <si>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</si>
  <si>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</si>
  <si>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</si>
  <si>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</si>
  <si>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</si>
  <si>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</si>
  <si>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</si>
  <si>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</si>
  <si>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</si>
  <si>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</si>
  <si>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</si>
  <si>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</si>
  <si>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</si>
  <si>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</si>
  <si>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</si>
  <si>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</si>
  <si>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</si>
  <si>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</si>
  <si>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</si>
  <si>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</si>
  <si>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</si>
  <si>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</si>
  <si>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</si>
  <si>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</si>
  <si>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</si>
  <si>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</si>
  <si>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</si>
  <si>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</si>
  <si>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</si>
  <si>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</si>
  <si>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</si>
  <si>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</si>
  <si>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</si>
  <si>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</si>
  <si>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</si>
  <si>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</si>
  <si>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</si>
  <si>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</si>
  <si>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</si>
  <si>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</si>
  <si>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</si>
  <si>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</si>
  <si>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</si>
  <si>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</si>
  <si>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</si>
  <si>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</si>
  <si>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</si>
  <si>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</si>
  <si>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</si>
  <si>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</si>
  <si>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</si>
  <si>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</si>
  <si>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</si>
  <si>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</si>
  <si>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</si>
  <si>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</si>
  <si>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</si>
  <si>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</si>
  <si>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</si>
  <si>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</si>
  <si>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</si>
  <si>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</si>
  <si>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</si>
  <si>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</si>
  <si>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</si>
  <si>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</si>
  <si>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</si>
  <si>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</si>
  <si>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</si>
  <si>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</si>
  <si>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</si>
  <si>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</si>
  <si>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</si>
  <si>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</si>
  <si>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</si>
  <si>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</si>
  <si>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</si>
  <si>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</si>
  <si>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</si>
  <si>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</si>
  <si>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</si>
  <si>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</si>
  <si>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</si>
  <si>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</si>
  <si>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</si>
  <si>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</si>
  <si>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</si>
  <si>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</si>
  <si>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</si>
  <si>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</si>
  <si>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</si>
  <si>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</si>
  <si>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</si>
  <si>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</si>
  <si>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</si>
  <si>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</si>
  <si>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</si>
  <si>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</si>
  <si>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</si>
  <si>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</si>
  <si>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</si>
  <si>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</si>
  <si>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</si>
  <si>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</si>
  <si>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</si>
  <si>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</si>
  <si>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</si>
  <si>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</si>
  <si>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</si>
  <si>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</si>
  <si>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</si>
  <si>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</si>
  <si>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</si>
  <si>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</si>
  <si>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</si>
  <si>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</si>
  <si>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</si>
  <si>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</si>
  <si>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</si>
  <si>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</si>
  <si>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</si>
  <si>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</si>
  <si>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</si>
  <si>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</si>
  <si>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</si>
  <si>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</si>
  <si>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</si>
  <si>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</si>
  <si>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</si>
  <si>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</si>
  <si>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</si>
  <si>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</si>
  <si>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</si>
  <si>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</si>
  <si>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</si>
  <si>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</si>
  <si>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</si>
  <si>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</si>
  <si>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</si>
  <si>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</si>
  <si>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</si>
  <si>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</si>
  <si>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</si>
  <si>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</si>
  <si>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</si>
  <si>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</si>
  <si>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</si>
  <si>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</si>
  <si>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</si>
  <si>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</si>
  <si>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</si>
  <si>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</si>
  <si>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</si>
  <si>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</si>
  <si>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</si>
  <si>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</si>
  <si>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</si>
  <si>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</si>
  <si>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</si>
  <si>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</si>
  <si>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</si>
  <si>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</si>
  <si>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</si>
  <si>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</si>
  <si>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</si>
  <si>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</si>
  <si>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</si>
  <si>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</si>
  <si>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</si>
  <si>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</si>
  <si>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</si>
  <si>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</si>
  <si>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</si>
  <si>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</si>
  <si>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</si>
  <si>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</si>
  <si>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</si>
  <si>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</si>
  <si>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</si>
  <si>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</si>
  <si>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</si>
  <si>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</si>
  <si>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</si>
  <si>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</si>
  <si>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</si>
  <si>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</si>
  <si>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</si>
  <si>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</si>
  <si>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</si>
  <si>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</si>
  <si>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</si>
  <si>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</si>
  <si>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</si>
  <si>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</si>
  <si>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</si>
  <si>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</si>
  <si>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</si>
  <si>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</si>
  <si>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</si>
  <si>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</si>
  <si>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</si>
  <si>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</si>
  <si>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</si>
  <si>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</si>
  <si>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</si>
  <si>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</si>
  <si>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</si>
  <si>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</si>
  <si>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</si>
  <si>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</si>
  <si>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</si>
  <si>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</si>
  <si>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</si>
  <si>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</si>
  <si>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</si>
  <si>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</si>
  <si>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</si>
  <si>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</si>
  <si>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</si>
  <si>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</si>
  <si>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</si>
  <si>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</si>
  <si>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</si>
  <si>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</si>
  <si>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</si>
  <si>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</si>
  <si>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</si>
  <si>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</si>
  <si>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</si>
  <si>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</si>
  <si>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</si>
  <si>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</si>
  <si>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</si>
  <si>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</si>
  <si>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</si>
  <si>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</si>
  <si>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</si>
  <si>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</si>
  <si>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</si>
  <si>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</si>
  <si>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</si>
  <si>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</si>
  <si>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</si>
  <si>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</si>
  <si>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</si>
  <si>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</si>
  <si>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</si>
  <si>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</si>
  <si>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</si>
  <si>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</si>
  <si>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</si>
  <si>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</si>
  <si>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</si>
  <si>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</si>
  <si>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</si>
  <si>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</si>
  <si>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</si>
  <si>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</si>
  <si>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</si>
  <si>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</si>
  <si>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</si>
  <si>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</si>
  <si>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</si>
  <si>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</si>
  <si>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</si>
  <si>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</si>
  <si>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</si>
  <si>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</si>
  <si>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</si>
  <si>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</si>
  <si>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</si>
  <si>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</si>
  <si>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</si>
  <si>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</si>
  <si>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</si>
  <si>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</si>
  <si>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</si>
  <si>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</si>
  <si>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</si>
  <si>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</si>
  <si>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</si>
  <si>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</si>
  <si>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</si>
  <si>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</si>
  <si>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</si>
  <si>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</si>
  <si>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</si>
  <si>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</si>
  <si>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</si>
  <si>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</si>
  <si>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</si>
  <si>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</si>
  <si>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</si>
  <si>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</si>
  <si>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</si>
  <si>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</si>
  <si>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</si>
  <si>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</si>
  <si>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</si>
  <si>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</si>
  <si>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</si>
  <si>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</si>
  <si>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</si>
  <si>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</si>
  <si>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</si>
  <si>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</si>
  <si>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</si>
  <si>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</si>
  <si>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</si>
  <si>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</si>
  <si>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</si>
  <si>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</si>
  <si>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</si>
  <si>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</si>
  <si>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</si>
  <si>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</si>
  <si>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</si>
  <si>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</si>
  <si>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</si>
  <si>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</si>
  <si>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</si>
  <si>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</si>
  <si>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</si>
  <si>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</si>
  <si>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</si>
  <si>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</si>
  <si>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</si>
  <si>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</si>
  <si>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</si>
  <si>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</si>
  <si>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</si>
  <si>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</si>
  <si>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</si>
  <si>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</si>
  <si>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</si>
  <si>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</si>
  <si>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</si>
  <si>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</si>
  <si>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</si>
  <si>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</si>
  <si>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</si>
  <si>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</si>
  <si>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</si>
  <si>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</si>
  <si>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</si>
  <si>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</si>
  <si>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</si>
  <si>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</si>
  <si>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</si>
  <si>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</si>
  <si>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</si>
  <si>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</si>
  <si>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</si>
  <si>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</si>
  <si>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</si>
  <si>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</si>
  <si>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</si>
  <si>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</si>
  <si>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</si>
  <si>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</si>
  <si>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</si>
  <si>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</si>
  <si>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</si>
  <si>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</si>
  <si>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</si>
  <si>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</si>
  <si>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</si>
  <si>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</si>
  <si>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</si>
  <si>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</si>
  <si>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</si>
  <si>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</si>
  <si>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</si>
  <si>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</si>
  <si>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</si>
  <si>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</si>
  <si>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</si>
  <si>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</si>
  <si>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</si>
  <si>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</si>
  <si>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</si>
  <si>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</si>
  <si>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</si>
  <si>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</si>
  <si>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</si>
  <si>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</si>
  <si>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</si>
  <si>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</si>
  <si>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</si>
  <si>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</si>
  <si>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</si>
  <si>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</si>
  <si>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</si>
  <si>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</si>
  <si>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</si>
  <si>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</si>
  <si>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</si>
  <si>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</si>
  <si>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</si>
  <si>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</si>
  <si>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</si>
  <si>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</si>
  <si>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</si>
  <si>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</si>
  <si>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</si>
  <si>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</si>
  <si>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</si>
  <si>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</si>
  <si>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</si>
  <si>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</si>
  <si>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</si>
  <si>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</si>
  <si>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</si>
  <si>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</si>
  <si>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</si>
  <si>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</si>
  <si>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</si>
  <si>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</si>
  <si>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</si>
  <si>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</si>
  <si>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</si>
  <si>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</si>
  <si>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</si>
  <si>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</si>
  <si>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</si>
  <si>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</si>
  <si>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</si>
  <si>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</si>
  <si>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</si>
  <si>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</si>
  <si>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</si>
  <si>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</si>
  <si>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</si>
  <si>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</si>
  <si>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</si>
  <si>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</si>
  <si>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</si>
  <si>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</si>
  <si>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</si>
  <si>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</si>
  <si>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</si>
  <si>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</si>
  <si>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</si>
  <si>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</si>
  <si>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</si>
  <si>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</si>
  <si>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</si>
  <si>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</si>
  <si>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</si>
  <si>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</si>
  <si>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</si>
  <si>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</si>
  <si>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</si>
  <si>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</si>
  <si>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</si>
  <si>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</si>
  <si>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</si>
  <si>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</si>
  <si>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</si>
  <si>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</si>
  <si>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</si>
  <si>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</si>
  <si>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</si>
  <si>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</si>
  <si>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</si>
  <si>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</si>
  <si>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</si>
  <si>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</si>
  <si>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</si>
  <si>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</si>
  <si>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</si>
  <si>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</si>
  <si>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</si>
  <si>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</si>
  <si>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</si>
  <si>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</si>
  <si>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</si>
  <si>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</si>
  <si>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</si>
  <si>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</si>
  <si>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</si>
  <si>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</si>
  <si>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</si>
  <si>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</si>
  <si>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</si>
  <si>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</si>
  <si>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</si>
  <si>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</si>
  <si>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</si>
  <si>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</si>
  <si>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</si>
  <si>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</si>
  <si>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</si>
  <si>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</si>
  <si>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</si>
  <si>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</si>
  <si>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</si>
  <si>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</si>
  <si>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</si>
  <si>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</si>
  <si>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</si>
  <si>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</si>
  <si>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</si>
  <si>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</si>
  <si>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</si>
  <si>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</si>
  <si>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</si>
  <si>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</si>
  <si>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</si>
  <si>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</si>
  <si>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</si>
  <si>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</si>
  <si>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</si>
  <si>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</si>
  <si>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</si>
  <si>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</si>
  <si>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</si>
  <si>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</si>
  <si>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</si>
  <si>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</si>
  <si>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</si>
  <si>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</si>
  <si>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</si>
  <si>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</si>
  <si>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</si>
  <si>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</si>
  <si>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</si>
  <si>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</si>
  <si>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</si>
  <si>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</si>
  <si>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</si>
  <si>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</si>
  <si>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</si>
  <si>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</si>
  <si>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</si>
  <si>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</si>
  <si>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</si>
  <si>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</si>
  <si>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</si>
  <si>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</si>
  <si>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</si>
  <si>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</si>
  <si>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</si>
  <si>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</si>
  <si>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</si>
  <si>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</si>
  <si>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</si>
  <si>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</si>
  <si>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</si>
  <si>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</si>
  <si>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</si>
  <si>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</si>
  <si>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</si>
  <si>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</si>
  <si>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</si>
  <si>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</si>
  <si>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</si>
  <si>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</si>
  <si>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</si>
  <si>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</si>
  <si>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</si>
  <si>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</si>
  <si>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</si>
  <si>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</si>
  <si>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</si>
  <si>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</si>
  <si>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</si>
  <si>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</si>
  <si>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</si>
  <si>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</si>
  <si>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</si>
  <si>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</si>
  <si>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</si>
  <si>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</si>
  <si>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</si>
  <si>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</si>
  <si>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</si>
  <si>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</si>
  <si>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</si>
  <si>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</si>
  <si>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</si>
  <si>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</si>
  <si>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</si>
  <si>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</si>
  <si>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</si>
  <si>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</si>
  <si>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</si>
  <si>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</si>
  <si>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</si>
  <si>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</si>
  <si>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</si>
  <si>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</si>
  <si>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</si>
  <si>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</si>
  <si>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</si>
  <si>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</si>
  <si>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</si>
  <si>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</si>
  <si>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</si>
  <si>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</si>
  <si>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</si>
  <si>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</si>
  <si>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</si>
  <si>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</si>
  <si>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</si>
  <si>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</si>
  <si>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</si>
  <si>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</si>
  <si>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</si>
  <si>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</si>
  <si>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</si>
  <si>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</si>
  <si>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</si>
  <si>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</si>
  <si>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</si>
  <si>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</si>
  <si>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</si>
  <si>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</si>
  <si>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</si>
  <si>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</si>
  <si>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</si>
  <si>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</si>
  <si>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</si>
  <si>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</si>
  <si>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</si>
  <si>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</si>
  <si>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</si>
  <si>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</si>
  <si>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</si>
  <si>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</si>
  <si>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</si>
  <si>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</si>
  <si>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</si>
  <si>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</si>
  <si>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</si>
  <si>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</si>
  <si>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</si>
  <si>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</si>
  <si>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</si>
  <si>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</si>
  <si>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</si>
  <si>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</si>
  <si>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</si>
  <si>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</si>
  <si>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</si>
  <si>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</si>
  <si>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</si>
  <si>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</si>
  <si>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</si>
  <si>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</si>
  <si>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</si>
  <si>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</si>
  <si>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</si>
  <si>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</si>
  <si>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</si>
  <si>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</si>
  <si>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</si>
  <si>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</si>
  <si>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</si>
  <si>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</si>
  <si>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</si>
  <si>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</si>
  <si>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</si>
  <si>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</si>
  <si>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</si>
  <si>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</si>
  <si>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</si>
  <si>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</si>
  <si>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</si>
  <si>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</si>
  <si>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</si>
  <si>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</si>
  <si>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</si>
  <si>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</si>
  <si>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</si>
  <si>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</si>
  <si>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</si>
  <si>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</si>
  <si>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</si>
  <si>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</si>
  <si>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</si>
  <si>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</si>
  <si>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</si>
  <si>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</si>
  <si>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</si>
  <si>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</si>
  <si>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</si>
  <si>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</si>
  <si>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</si>
  <si>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</si>
  <si>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</si>
  <si>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</si>
  <si>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</si>
  <si>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</si>
  <si>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</si>
  <si>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</si>
  <si>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</si>
  <si>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</si>
  <si>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</si>
  <si>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</si>
  <si>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</si>
  <si>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</si>
  <si>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</si>
  <si>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</si>
  <si>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</si>
  <si>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</si>
  <si>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</si>
  <si>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</si>
  <si>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</si>
  <si>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</si>
  <si>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</si>
  <si>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</si>
  <si>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</si>
  <si>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</si>
  <si>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</si>
  <si>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</si>
  <si>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</si>
  <si>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</si>
  <si>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</si>
  <si>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</si>
  <si>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</si>
  <si>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</si>
  <si>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</si>
  <si>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</si>
  <si>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</si>
  <si>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</si>
  <si>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</si>
  <si>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</si>
  <si>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</si>
  <si>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</si>
  <si>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</si>
  <si>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</si>
  <si>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</si>
  <si>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</si>
  <si>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</si>
  <si>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</si>
  <si>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</si>
  <si>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</si>
  <si>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</si>
  <si>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</si>
  <si>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</si>
  <si>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</si>
  <si>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</si>
  <si>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</si>
  <si>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</si>
  <si>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</si>
  <si>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</si>
  <si>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</si>
  <si>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</si>
  <si>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</si>
  <si>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</si>
  <si>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</si>
  <si>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</si>
  <si>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</si>
  <si>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</si>
  <si>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</si>
  <si>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</si>
  <si>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</si>
  <si>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</si>
  <si>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</si>
  <si>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</si>
  <si>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</si>
  <si>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</si>
  <si>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</si>
  <si>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</si>
  <si>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</si>
  <si>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</si>
  <si>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</si>
  <si>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</si>
  <si>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</si>
  <si>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</si>
  <si>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</si>
  <si>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</si>
  <si>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</si>
  <si>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</si>
  <si>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</si>
  <si>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</si>
  <si>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</si>
  <si>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</si>
  <si>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</si>
  <si>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</si>
  <si>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</si>
  <si>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</si>
  <si>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</si>
  <si>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</si>
  <si>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</si>
  <si>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</si>
  <si>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</si>
  <si>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</si>
  <si>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</si>
  <si>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</si>
  <si>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</si>
  <si>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</si>
  <si>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</si>
  <si>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</si>
  <si>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</si>
  <si>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</si>
  <si>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</si>
  <si>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</si>
  <si>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</si>
  <si>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</si>
  <si>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</si>
  <si>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</si>
  <si>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</si>
  <si>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</si>
  <si>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</si>
  <si>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</si>
  <si>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</si>
  <si>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</si>
  <si>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</si>
  <si>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</si>
  <si>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</si>
  <si>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</si>
  <si>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</si>
  <si>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</si>
  <si>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</si>
  <si>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</si>
  <si>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</si>
  <si>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</si>
  <si>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</si>
  <si>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</si>
  <si>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</si>
  <si>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</si>
  <si>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</si>
  <si>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</si>
  <si>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</si>
  <si>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</si>
  <si>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</si>
  <si>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</si>
  <si>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</si>
  <si>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</si>
  <si>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</si>
  <si>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</si>
  <si>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</si>
  <si>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</si>
  <si>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</si>
  <si>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</si>
  <si>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</si>
  <si>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</si>
  <si>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</si>
  <si>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</si>
  <si>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</si>
  <si>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</si>
  <si>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</si>
  <si>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</si>
  <si>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</si>
  <si>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</si>
  <si>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</si>
  <si>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</si>
  <si>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</si>
  <si>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</si>
  <si>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</si>
  <si>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</si>
  <si>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</si>
  <si>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</si>
  <si>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</si>
  <si>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</si>
  <si>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</si>
  <si>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</si>
  <si>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</si>
  <si>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</si>
  <si>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</si>
  <si>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</si>
  <si>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</si>
  <si>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</si>
  <si>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</si>
  <si>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</si>
  <si>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</si>
  <si>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</si>
  <si>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</si>
  <si>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</si>
  <si>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</si>
  <si>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</si>
  <si>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</si>
  <si>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</si>
  <si>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</si>
  <si>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</si>
  <si>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</si>
  <si>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</si>
  <si>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</si>
  <si>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</si>
  <si>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</si>
  <si>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</si>
  <si>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</si>
  <si>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</si>
  <si>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</si>
  <si>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</si>
  <si>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</si>
  <si>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</si>
  <si>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</si>
  <si>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</si>
  <si>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</si>
  <si>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</si>
  <si>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</si>
  <si>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</si>
  <si>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</si>
  <si>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</si>
  <si>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</si>
  <si>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</si>
  <si>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</si>
  <si>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</si>
  <si>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</si>
  <si>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</si>
  <si>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</si>
  <si>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</si>
  <si>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</si>
  <si>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</si>
  <si>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</si>
  <si>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</si>
  <si>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</si>
  <si>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</si>
  <si>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</si>
  <si>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</si>
  <si>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</si>
  <si>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</si>
  <si>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</si>
  <si>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</si>
  <si>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</si>
  <si>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</si>
  <si>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</si>
  <si>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</si>
  <si>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</si>
  <si>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</si>
  <si>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</si>
  <si>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</si>
  <si>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</si>
  <si>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</si>
  <si>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</si>
  <si>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</si>
  <si>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</si>
  <si>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</si>
  <si>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</si>
  <si>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</si>
  <si>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</si>
  <si>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</si>
  <si>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</si>
  <si>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</si>
  <si>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</si>
  <si>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</si>
  <si>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</si>
  <si>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</si>
  <si>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</si>
  <si>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</si>
  <si>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</si>
  <si>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</si>
  <si>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</si>
  <si>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</si>
  <si>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</si>
  <si>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</si>
  <si>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</si>
  <si>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</si>
  <si>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</si>
  <si>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</si>
  <si>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</si>
  <si>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</si>
  <si>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</si>
  <si>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</si>
  <si>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</si>
  <si>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</si>
  <si>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</si>
  <si>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</si>
  <si>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</si>
  <si>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</si>
  <si>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</si>
  <si>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</si>
  <si>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</si>
  <si>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</si>
  <si>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</si>
  <si>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</si>
  <si>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</si>
  <si>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</si>
  <si>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</si>
  <si>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</si>
  <si>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</si>
  <si>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</si>
  <si>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</si>
  <si>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</si>
  <si>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</si>
  <si>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</si>
  <si>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</si>
  <si>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</si>
  <si>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</si>
  <si>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</si>
  <si>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</si>
  <si>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</si>
  <si>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</si>
  <si>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</si>
  <si>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</si>
  <si>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</si>
  <si>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</si>
  <si>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</si>
  <si>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</si>
  <si>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</si>
  <si>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</si>
  <si>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</si>
  <si>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</si>
  <si>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</si>
  <si>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</si>
  <si>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</si>
  <si>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</si>
  <si>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</si>
  <si>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</si>
  <si>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</si>
  <si>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</si>
  <si>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</si>
  <si>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</si>
  <si>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</si>
  <si>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</si>
  <si>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</si>
  <si>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</si>
  <si>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</si>
  <si>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</si>
  <si>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</si>
  <si>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</si>
  <si>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</si>
  <si>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</si>
  <si>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</si>
  <si>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</si>
  <si>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</si>
  <si>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</si>
  <si>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</si>
  <si>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</si>
  <si>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</si>
  <si>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</si>
  <si>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</si>
  <si>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</si>
  <si>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</si>
  <si>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</si>
  <si>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</si>
  <si>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</si>
  <si>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</si>
  <si>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</si>
  <si>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</si>
  <si>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</si>
  <si>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</si>
  <si>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</si>
  <si>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</si>
  <si>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</si>
  <si>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</si>
  <si>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</si>
  <si>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</si>
  <si>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</si>
  <si>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</si>
  <si>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</si>
  <si>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</si>
  <si>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</si>
  <si>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</si>
  <si>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</si>
  <si>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</si>
  <si>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</si>
  <si>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</si>
  <si>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</si>
  <si>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</si>
  <si>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</si>
  <si>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</si>
  <si>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</si>
  <si>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</si>
  <si>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</si>
  <si>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</si>
  <si>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</si>
  <si>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</si>
  <si>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</si>
  <si>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</si>
  <si>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</si>
  <si>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</si>
  <si>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</si>
  <si>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</si>
  <si>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</si>
  <si>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</si>
  <si>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</si>
  <si>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</si>
  <si>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</si>
  <si>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</si>
  <si>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</si>
  <si>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</si>
  <si>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</si>
  <si>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</si>
  <si>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</si>
  <si>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</si>
  <si>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</si>
  <si>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</si>
  <si>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</si>
  <si>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</si>
  <si>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</si>
  <si>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</si>
  <si>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</si>
  <si>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</si>
  <si>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</si>
  <si>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</si>
  <si>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</si>
  <si>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</si>
  <si>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</si>
  <si>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</si>
  <si>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</si>
  <si>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</si>
  <si>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</si>
  <si>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</si>
  <si>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</si>
  <si>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</si>
  <si>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</si>
  <si>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</si>
  <si>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</si>
  <si>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</si>
  <si>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</si>
  <si>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</si>
  <si>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</si>
  <si>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</si>
  <si>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</si>
  <si>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</si>
  <si>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</si>
  <si>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</si>
  <si>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</si>
  <si>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</si>
  <si>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</si>
  <si>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</si>
  <si>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</si>
  <si>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</si>
  <si>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</si>
  <si>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</si>
  <si>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</si>
  <si>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</si>
  <si>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</si>
  <si>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</si>
  <si>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</si>
  <si>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</si>
  <si>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</si>
  <si>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</si>
  <si>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</si>
  <si>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</si>
  <si>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</si>
  <si>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</si>
  <si>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</si>
  <si>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</si>
  <si>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</si>
  <si>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</si>
  <si>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</si>
  <si>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</si>
  <si>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</si>
  <si>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</si>
  <si>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</si>
  <si>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</si>
  <si>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</si>
  <si>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</si>
  <si>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</si>
  <si>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</si>
  <si>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</si>
  <si>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</si>
  <si>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</si>
  <si>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</si>
  <si>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</si>
  <si>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</si>
  <si>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</si>
  <si>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</si>
  <si>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</si>
  <si>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</si>
  <si>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</si>
  <si>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</si>
  <si>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</si>
  <si>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</si>
  <si>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</si>
  <si>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</si>
  <si>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</si>
  <si>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</si>
  <si>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</si>
  <si>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</si>
  <si>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</si>
  <si>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</si>
  <si>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</si>
  <si>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</si>
  <si>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</si>
  <si>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</si>
  <si>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</si>
  <si>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</si>
  <si>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</si>
  <si>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</si>
  <si>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</si>
  <si>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</si>
  <si>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</si>
  <si>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</si>
  <si>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</si>
  <si>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</si>
  <si>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</si>
  <si>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</si>
  <si>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</si>
  <si>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</si>
  <si>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</si>
  <si>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</si>
  <si>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</si>
  <si>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</si>
  <si>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</si>
  <si>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</si>
  <si>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</si>
  <si>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</si>
  <si>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</si>
  <si>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</si>
  <si>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</si>
  <si>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</si>
  <si>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</si>
  <si>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</si>
  <si>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</si>
  <si>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</si>
  <si>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</si>
  <si>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</si>
  <si>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</si>
  <si>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</si>
  <si>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</si>
  <si>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</si>
  <si>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</si>
  <si>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</si>
  <si>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</si>
  <si>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</si>
  <si>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</si>
  <si>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</si>
  <si>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</si>
  <si>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</si>
  <si>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</si>
  <si>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</si>
  <si>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</si>
  <si>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</si>
  <si>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</si>
  <si>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</si>
  <si>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</si>
  <si>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</si>
  <si>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</si>
  <si>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</si>
  <si>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</si>
  <si>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</si>
  <si>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</si>
  <si>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</si>
  <si>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</si>
  <si>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</si>
  <si>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</si>
  <si>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</si>
  <si>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</si>
  <si>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</si>
  <si>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</si>
  <si>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</si>
  <si>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</si>
  <si>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</si>
  <si>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</si>
  <si>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</si>
  <si>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</si>
  <si>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</si>
  <si>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</si>
  <si>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</si>
  <si>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</si>
  <si>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</si>
  <si>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</si>
  <si>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</si>
  <si>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</si>
  <si>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</si>
  <si>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</si>
  <si>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</si>
  <si>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</si>
  <si>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</si>
  <si>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</si>
  <si>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</si>
  <si>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</si>
  <si>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</si>
  <si>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</si>
  <si>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</si>
  <si>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</si>
  <si>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</si>
  <si>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</si>
  <si>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</si>
  <si>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</si>
  <si>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</si>
  <si>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</si>
  <si>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</si>
  <si>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</si>
  <si>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</si>
  <si>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</si>
  <si>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</si>
  <si>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</si>
  <si>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</si>
  <si>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</si>
  <si>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</si>
  <si>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</si>
  <si>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</si>
  <si>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</si>
  <si>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</si>
  <si>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</si>
  <si>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</si>
  <si>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</si>
  <si>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</si>
  <si>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</si>
  <si>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</si>
  <si>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</si>
  <si>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</si>
  <si>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</si>
  <si>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</si>
  <si>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</si>
  <si>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</si>
  <si>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</si>
  <si>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</si>
  <si>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</si>
  <si>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</si>
  <si>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</si>
  <si>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</si>
  <si>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</si>
  <si>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</si>
  <si>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</si>
  <si>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</si>
  <si>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</si>
  <si>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</si>
  <si>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</si>
  <si>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</si>
  <si>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</si>
  <si>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</si>
  <si>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</si>
  <si>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</si>
  <si>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</si>
  <si>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</si>
  <si>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</si>
  <si>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</si>
  <si>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</si>
  <si>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</si>
  <si>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</si>
  <si>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</si>
  <si>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</si>
  <si>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</si>
  <si>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</si>
  <si>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</si>
  <si>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</si>
  <si>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</si>
  <si>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</si>
  <si>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</si>
  <si>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</si>
  <si>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</si>
  <si>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</si>
  <si>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</si>
  <si>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</si>
  <si>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</si>
  <si>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</si>
  <si>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</si>
  <si>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</si>
  <si>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</si>
  <si>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</si>
  <si>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</si>
  <si>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</si>
  <si>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</si>
  <si>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</si>
  <si>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</si>
  <si>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</si>
  <si>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</si>
  <si>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</si>
  <si>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</si>
  <si>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</si>
  <si>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</si>
  <si>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</si>
  <si>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</si>
  <si>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</si>
  <si>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</si>
  <si>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</si>
  <si>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</si>
  <si>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</si>
  <si>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</si>
  <si>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</si>
  <si>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</si>
  <si>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</si>
  <si>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</si>
  <si>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</si>
  <si>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</si>
  <si>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</si>
  <si>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</si>
  <si>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</si>
  <si>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</si>
  <si>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</si>
  <si>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</si>
  <si>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</si>
  <si>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</si>
  <si>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</si>
  <si>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</si>
  <si>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</si>
  <si>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</si>
  <si>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</si>
  <si>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</si>
  <si>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</si>
  <si>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</si>
  <si>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</si>
  <si>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</si>
  <si>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</si>
  <si>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</si>
  <si>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</si>
  <si>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</si>
  <si>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</si>
  <si>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</si>
  <si>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</si>
  <si>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</si>
  <si>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</si>
  <si>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</si>
  <si>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</si>
  <si>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</si>
  <si>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</si>
  <si>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</si>
  <si>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</si>
  <si>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</si>
  <si>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</si>
  <si>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</si>
  <si>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</si>
  <si>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</si>
  <si>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</si>
  <si>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</si>
  <si>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</si>
  <si>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</si>
  <si>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</si>
  <si>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</si>
  <si>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</si>
  <si>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</si>
  <si>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</si>
  <si>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</si>
  <si>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</si>
  <si>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</si>
  <si>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</si>
  <si>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</si>
  <si>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</si>
  <si>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</si>
  <si>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</si>
  <si>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</si>
  <si>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</si>
  <si>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</si>
  <si>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</si>
  <si>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</si>
  <si>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</si>
  <si>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</si>
  <si>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</si>
  <si>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</si>
  <si>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</si>
  <si>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</si>
  <si>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</si>
  <si>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</si>
  <si>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</si>
  <si>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</si>
  <si>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</si>
  <si>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</si>
  <si>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</si>
  <si>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</si>
  <si>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</si>
  <si>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</si>
  <si>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</si>
  <si>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</si>
  <si>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</si>
  <si>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</si>
  <si>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</si>
  <si>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</si>
  <si>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</si>
  <si>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</si>
  <si>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</si>
  <si>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</si>
  <si>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</si>
  <si>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</si>
  <si>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</si>
  <si>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</si>
  <si>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</si>
  <si>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</si>
  <si>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</si>
  <si>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</si>
  <si>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</si>
  <si>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</si>
  <si>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</si>
  <si>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</si>
  <si>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</si>
  <si>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</si>
  <si>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</si>
  <si>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</si>
  <si>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</si>
  <si>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</si>
  <si>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</si>
  <si>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</si>
  <si>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</si>
  <si>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</si>
  <si>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</si>
  <si>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</si>
  <si>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</si>
  <si>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</si>
  <si>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</si>
  <si>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</si>
  <si>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</si>
  <si>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</si>
  <si>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</si>
  <si>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</si>
  <si>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</si>
  <si>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</si>
  <si>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</si>
  <si>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</si>
  <si>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</si>
  <si>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</si>
  <si>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</si>
  <si>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</si>
  <si>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</si>
  <si>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</si>
  <si>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</si>
  <si>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</si>
  <si>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</si>
  <si>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</si>
  <si>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</si>
  <si>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</si>
  <si>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</si>
  <si>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</si>
  <si>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</si>
  <si>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</si>
  <si>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</si>
  <si>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</si>
  <si>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</si>
  <si>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</si>
  <si>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</si>
  <si>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</si>
  <si>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</si>
  <si>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</si>
  <si>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</si>
  <si>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</si>
  <si>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</si>
  <si>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</si>
  <si>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</si>
  <si>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</si>
  <si>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</si>
  <si>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</si>
  <si>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</si>
  <si>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</si>
  <si>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</si>
  <si>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</si>
  <si>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</si>
  <si>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</si>
  <si>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</si>
  <si>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</si>
  <si>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</si>
  <si>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</si>
  <si>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</si>
  <si>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</si>
  <si>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</si>
  <si>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</si>
  <si>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</si>
  <si>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</si>
  <si>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</si>
  <si>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</si>
  <si>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</si>
  <si>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</si>
  <si>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</si>
  <si>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</si>
  <si>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</si>
  <si>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</si>
  <si>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</si>
  <si>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</si>
  <si>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</si>
  <si>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</si>
  <si>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</si>
  <si>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</si>
  <si>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</si>
  <si>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</si>
  <si>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</si>
  <si>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</si>
  <si>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</si>
  <si>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</si>
  <si>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</si>
  <si>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</si>
  <si>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</si>
  <si>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</si>
  <si>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</si>
  <si>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</si>
  <si>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</si>
  <si>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</si>
  <si>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</si>
  <si>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</si>
  <si>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</si>
  <si>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</si>
  <si>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</si>
  <si>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</si>
  <si>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</si>
  <si>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</si>
  <si>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</si>
  <si>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</si>
  <si>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</si>
  <si>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</si>
  <si>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</si>
  <si>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</si>
  <si>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</si>
  <si>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</si>
  <si>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</si>
  <si>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</si>
  <si>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</si>
  <si>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</si>
  <si>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</si>
  <si>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</si>
  <si>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</si>
  <si>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</si>
  <si>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</si>
  <si>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</si>
  <si>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</si>
  <si>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</si>
  <si>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</si>
  <si>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</si>
  <si>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</si>
  <si>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</si>
  <si>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</si>
  <si>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</si>
  <si>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</si>
  <si>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</si>
  <si>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</si>
  <si>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</si>
  <si>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</si>
  <si>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</si>
  <si>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</si>
  <si>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</si>
  <si>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</si>
  <si>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</si>
  <si>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</si>
  <si>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</si>
  <si>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</si>
  <si>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</si>
  <si>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</si>
  <si>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</si>
  <si>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</si>
  <si>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</si>
  <si>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</si>
  <si>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</si>
  <si>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</si>
  <si>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</si>
  <si>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</si>
  <si>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</si>
  <si>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</si>
  <si>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</si>
  <si>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</si>
  <si>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</si>
  <si>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</si>
  <si>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</si>
  <si>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</si>
  <si>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</si>
  <si>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</si>
  <si>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</si>
  <si>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</si>
  <si>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</si>
  <si>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</si>
  <si>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</si>
  <si>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</si>
  <si>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</si>
  <si>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</si>
  <si>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</si>
  <si>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</si>
  <si>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</si>
  <si>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</si>
  <si>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</si>
  <si>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</si>
  <si>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</si>
  <si>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</si>
  <si>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</si>
  <si>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</si>
  <si>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</si>
  <si>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</si>
  <si>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</si>
  <si>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</si>
  <si>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</si>
  <si>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</si>
  <si>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</si>
  <si>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</si>
  <si>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</si>
  <si>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</si>
  <si>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</si>
  <si>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</si>
  <si>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</si>
  <si>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</si>
  <si>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</si>
  <si>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</si>
  <si>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</si>
  <si>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</si>
  <si>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</si>
  <si>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</si>
  <si>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</si>
  <si>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</si>
  <si>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</si>
  <si>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</si>
  <si>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</si>
  <si>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</si>
  <si>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</si>
  <si>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</si>
  <si>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</si>
  <si>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</si>
  <si>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</si>
  <si>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</si>
  <si>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</si>
  <si>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</si>
  <si>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</si>
  <si>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</si>
  <si>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</si>
  <si>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</si>
  <si>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</si>
  <si>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</si>
  <si>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</si>
  <si>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</si>
  <si>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</si>
  <si>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</si>
  <si>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</si>
  <si>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</si>
  <si>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</si>
  <si>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</si>
  <si>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</si>
  <si>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</si>
  <si>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</si>
  <si>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</si>
  <si>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</si>
  <si>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</si>
  <si>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</si>
  <si>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</si>
  <si>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</si>
  <si>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</si>
  <si>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</si>
  <si>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</si>
  <si>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</si>
  <si>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</si>
  <si>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</si>
  <si>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</si>
  <si>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</si>
  <si>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</si>
  <si>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</si>
  <si>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</si>
  <si>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</si>
  <si>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</si>
  <si>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</si>
  <si>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</si>
  <si>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</si>
  <si>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</si>
  <si>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</si>
  <si>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</si>
  <si>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</si>
  <si>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</si>
  <si>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</si>
  <si>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</si>
  <si>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</si>
  <si>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</si>
  <si>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</si>
  <si>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</si>
  <si>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</si>
  <si>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</si>
  <si>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</si>
  <si>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</si>
  <si>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</si>
  <si>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</si>
  <si>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</si>
  <si>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</si>
  <si>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</si>
  <si>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</si>
  <si>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</si>
  <si>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</si>
  <si>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</si>
  <si>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</si>
  <si>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</si>
  <si>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</si>
  <si>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</si>
  <si>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</si>
  <si>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</si>
  <si>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</si>
  <si>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</si>
  <si>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</si>
  <si>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</si>
  <si>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</si>
  <si>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</si>
  <si>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</si>
  <si>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</si>
  <si>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</si>
  <si>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</si>
  <si>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</si>
  <si>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</si>
  <si>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</si>
  <si>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</si>
  <si>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</si>
  <si>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</si>
  <si>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</si>
  <si>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</si>
  <si>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</si>
  <si>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</si>
  <si>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</si>
  <si>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</si>
  <si>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</si>
  <si>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</si>
  <si>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</si>
  <si>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</si>
  <si>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</si>
  <si>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</si>
  <si>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</si>
  <si>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</si>
  <si>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</si>
  <si>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</si>
  <si>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</si>
  <si>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</si>
  <si>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</si>
  <si>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</si>
  <si>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</si>
  <si>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</si>
  <si>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</si>
  <si>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</si>
  <si>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</si>
  <si>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</si>
  <si>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</si>
  <si>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</si>
  <si>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</si>
  <si>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</si>
  <si>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</si>
  <si>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</si>
  <si>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</si>
  <si>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</si>
  <si>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</si>
  <si>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</si>
  <si>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</si>
  <si>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</si>
  <si>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</si>
  <si>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</si>
  <si>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</si>
  <si>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</si>
  <si>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</si>
  <si>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</si>
  <si>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</si>
  <si>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</si>
  <si>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</si>
  <si>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</si>
  <si>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</si>
  <si>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</si>
  <si>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</si>
  <si>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</si>
  <si>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</si>
  <si>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</si>
  <si>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</si>
  <si>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</si>
  <si>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</si>
  <si>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</si>
  <si>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</si>
  <si>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</si>
  <si>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</si>
  <si>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</si>
  <si>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</si>
  <si>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</si>
  <si>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</si>
  <si>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</si>
  <si>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</si>
  <si>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</si>
  <si>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</si>
  <si>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</si>
  <si>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</si>
  <si>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</si>
  <si>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</si>
  <si>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</si>
  <si>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</si>
  <si>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</si>
  <si>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</si>
  <si>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</si>
  <si>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</si>
  <si>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</si>
  <si>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</si>
  <si>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</si>
  <si>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</si>
  <si>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</si>
  <si>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</si>
  <si>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</si>
  <si>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</si>
  <si>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</si>
  <si>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</si>
  <si>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</si>
  <si>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</si>
  <si>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</si>
  <si>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</si>
  <si>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</si>
  <si>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</si>
  <si>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</si>
  <si>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</si>
  <si>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</si>
  <si>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</si>
  <si>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</si>
  <si>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</si>
  <si>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</si>
  <si>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</si>
  <si>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</si>
  <si>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</si>
  <si>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</si>
  <si>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</si>
  <si>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</si>
  <si>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</si>
  <si>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</si>
  <si>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</si>
  <si>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</si>
  <si>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</si>
  <si>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</si>
  <si>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</si>
  <si>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</si>
  <si>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</si>
  <si>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</si>
  <si>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</si>
  <si>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</si>
  <si>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</si>
  <si>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</si>
  <si>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</si>
  <si>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</si>
  <si>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</si>
  <si>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</si>
  <si>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</si>
  <si>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</si>
  <si>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</si>
  <si>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</si>
  <si>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</si>
  <si>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</si>
  <si>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</si>
  <si>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</si>
  <si>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</si>
  <si>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</si>
  <si>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</si>
  <si>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</si>
  <si>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</si>
  <si>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</si>
  <si>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</si>
  <si>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</si>
  <si>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</si>
  <si>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</si>
  <si>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</si>
  <si>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</si>
  <si>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</si>
  <si>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</si>
  <si>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</si>
  <si>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</si>
  <si>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</si>
  <si>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</si>
  <si>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</si>
  <si>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</si>
  <si>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</si>
  <si>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</si>
  <si>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</si>
  <si>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</si>
  <si>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</si>
  <si>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</si>
  <si>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</si>
  <si>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</si>
  <si>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</si>
  <si>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</si>
  <si>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</si>
  <si>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</si>
  <si>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</si>
  <si>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</si>
  <si>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</si>
  <si>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</si>
  <si>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</si>
  <si>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</si>
  <si>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</si>
  <si>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</si>
  <si>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</si>
  <si>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</si>
  <si>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</si>
  <si>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</si>
  <si>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</si>
  <si>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</si>
  <si>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</si>
  <si>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</si>
  <si>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</si>
  <si>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</si>
  <si>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</si>
  <si>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</si>
  <si>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</si>
  <si>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</si>
  <si>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</si>
  <si>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</si>
  <si>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</si>
  <si>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</si>
  <si>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</si>
  <si>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</si>
  <si>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</si>
  <si>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</si>
  <si>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</si>
  <si>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</si>
  <si>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</si>
  <si>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</si>
  <si>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</si>
  <si>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</si>
  <si>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</si>
  <si>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</si>
  <si>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</si>
  <si>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</si>
  <si>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</si>
  <si>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</si>
  <si>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</si>
  <si>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</si>
  <si>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</si>
  <si>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</si>
  <si>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</si>
  <si>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</si>
  <si>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</si>
  <si>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</si>
  <si>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</si>
  <si>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</si>
  <si>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</si>
  <si>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</si>
  <si>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</si>
  <si>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</si>
  <si>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</si>
  <si>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</si>
  <si>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</si>
  <si>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</si>
  <si>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</si>
  <si>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</si>
  <si>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</si>
  <si>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</si>
  <si>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</si>
  <si>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</si>
  <si>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</si>
  <si>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</si>
  <si>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</si>
  <si>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</si>
  <si>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</si>
  <si>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</si>
  <si>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</si>
  <si>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</si>
  <si>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</si>
  <si>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</si>
  <si>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</si>
  <si>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</si>
  <si>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</si>
  <si>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</si>
  <si>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</si>
  <si>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</si>
  <si>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</si>
  <si>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</si>
  <si>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</si>
  <si>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</si>
  <si>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</si>
  <si>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</si>
  <si>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</si>
  <si>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</si>
  <si>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</si>
  <si>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</si>
  <si>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</si>
  <si>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</si>
  <si>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</si>
  <si>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</si>
  <si>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</si>
  <si>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</si>
  <si>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</si>
  <si>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</si>
  <si>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</si>
  <si>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</si>
  <si>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</si>
  <si>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</si>
  <si>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</si>
  <si>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</si>
  <si>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</si>
  <si>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</si>
  <si>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</si>
  <si>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</si>
  <si>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</si>
  <si>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</si>
  <si>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</si>
  <si>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</si>
  <si>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</si>
  <si>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</si>
  <si>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</si>
  <si>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</si>
  <si>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</si>
  <si>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</si>
  <si>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</si>
  <si>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</si>
  <si>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</si>
  <si>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</si>
  <si>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</si>
  <si>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</si>
  <si>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</si>
  <si>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</si>
  <si>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</si>
  <si>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</si>
  <si>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</si>
  <si>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</si>
  <si>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</si>
  <si>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</si>
  <si>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</si>
  <si>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</si>
  <si>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</si>
  <si>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</si>
  <si>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</si>
  <si>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</si>
  <si>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</si>
  <si>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</si>
  <si>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</si>
  <si>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</si>
  <si>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</si>
  <si>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</si>
  <si>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</si>
  <si>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</si>
  <si>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</si>
  <si>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</si>
  <si>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</si>
  <si>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</si>
  <si>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</si>
  <si>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</si>
  <si>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</si>
  <si>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</si>
  <si>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</si>
  <si>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</si>
  <si>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</si>
  <si>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</si>
  <si>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</si>
  <si>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</si>
  <si>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</si>
  <si>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</si>
  <si>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</si>
  <si>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</si>
  <si>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</si>
  <si>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</si>
  <si>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</si>
  <si>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</si>
  <si>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</si>
  <si>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</si>
  <si>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</si>
  <si>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</si>
  <si>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</si>
  <si>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</si>
  <si>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</si>
  <si>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</si>
  <si>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</si>
  <si>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</si>
  <si>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</si>
  <si>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</si>
  <si>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</si>
  <si>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</si>
  <si>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</si>
  <si>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</si>
  <si>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</si>
  <si>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</si>
  <si>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</si>
  <si>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</si>
  <si>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</si>
  <si>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</si>
  <si>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</si>
  <si>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</si>
  <si>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</si>
  <si>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</si>
  <si>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</si>
  <si>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</si>
  <si>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</si>
  <si>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</si>
  <si>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</si>
  <si>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</si>
  <si>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</si>
  <si>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</si>
  <si>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</si>
  <si>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</si>
  <si>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</si>
  <si>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</si>
  <si>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</si>
  <si>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</si>
  <si>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</si>
  <si>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</si>
  <si>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</si>
  <si>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</si>
  <si>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</si>
  <si>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</si>
  <si>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</si>
  <si>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</si>
  <si>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</si>
  <si>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</si>
  <si>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</si>
  <si>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</si>
  <si>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</si>
  <si>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</si>
  <si>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</si>
  <si>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</si>
  <si>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</si>
  <si>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</si>
  <si>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</si>
  <si>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</si>
  <si>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</si>
  <si>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</si>
  <si>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</si>
  <si>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</si>
  <si>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</si>
  <si>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</si>
  <si>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</si>
  <si>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</si>
  <si>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</si>
  <si>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</si>
  <si>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</si>
  <si>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</si>
  <si>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</si>
  <si>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</si>
  <si>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</si>
  <si>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</si>
  <si>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</si>
  <si>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</si>
  <si>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</si>
  <si>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</si>
  <si>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</si>
  <si>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</si>
  <si>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</si>
  <si>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</si>
  <si>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</si>
  <si>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</si>
  <si>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</si>
  <si>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</si>
  <si>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</si>
  <si>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</si>
  <si>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</si>
  <si>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</si>
  <si>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</si>
  <si>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</si>
  <si>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</si>
  <si>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</si>
  <si>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</si>
  <si>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</si>
  <si>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</si>
  <si>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</si>
  <si>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</si>
  <si>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</si>
  <si>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</si>
  <si>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</si>
  <si>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</si>
  <si>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</si>
  <si>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</si>
  <si>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</si>
  <si>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</si>
  <si>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</si>
  <si>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</si>
  <si>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</si>
  <si>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</si>
  <si>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</si>
  <si>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</si>
  <si>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</si>
  <si>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</si>
  <si>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</si>
  <si>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</si>
  <si>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</si>
  <si>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</si>
  <si>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</si>
  <si>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</si>
  <si>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</si>
  <si>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</si>
  <si>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</si>
  <si>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</si>
  <si>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</si>
  <si>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</si>
  <si>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</si>
  <si>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</si>
  <si>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</si>
  <si>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</si>
  <si>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</si>
  <si>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</si>
  <si>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</si>
  <si>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</si>
  <si>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</si>
  <si>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</si>
  <si>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</si>
  <si>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</si>
  <si>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</si>
  <si>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</si>
  <si>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</si>
  <si>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</si>
  <si>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</si>
  <si>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</si>
  <si>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</si>
  <si>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</si>
  <si>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</si>
  <si>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</si>
  <si>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</si>
  <si>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</si>
  <si>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</si>
  <si>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</si>
  <si>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</si>
  <si>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</si>
  <si>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</si>
  <si>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</si>
  <si>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</si>
  <si>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</si>
  <si>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</si>
  <si>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</si>
  <si>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</si>
  <si>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</si>
  <si>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</si>
  <si>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</si>
  <si>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</si>
  <si>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</si>
  <si>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</si>
  <si>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</si>
  <si>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</si>
  <si>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</si>
  <si>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</si>
  <si>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</si>
  <si>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</si>
  <si>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</si>
  <si>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</si>
  <si>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</si>
  <si>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</si>
  <si>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</si>
  <si>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</si>
  <si>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</si>
  <si>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</si>
  <si>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</si>
  <si>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</si>
  <si>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</si>
  <si>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</si>
  <si>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</si>
  <si>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</si>
  <si>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</si>
  <si>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</si>
  <si>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</si>
  <si>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</si>
  <si>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</si>
  <si>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</si>
  <si>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</si>
  <si>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</si>
  <si>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</si>
  <si>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</si>
  <si>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</si>
  <si>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</si>
  <si>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</si>
  <si>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</si>
  <si>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</si>
  <si>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</si>
  <si>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</si>
  <si>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</si>
  <si>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</si>
  <si>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</si>
  <si>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</si>
  <si>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</si>
  <si>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</si>
  <si>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</si>
  <si>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</si>
  <si>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</si>
  <si>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</si>
  <si>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</si>
  <si>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</si>
  <si>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</si>
  <si>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</si>
  <si>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</si>
  <si>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</si>
  <si>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</si>
  <si>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</si>
  <si>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</si>
  <si>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</si>
  <si>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</si>
  <si>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</si>
  <si>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</si>
  <si>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</si>
  <si>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</si>
  <si>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</si>
  <si>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</si>
  <si>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</si>
  <si>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</si>
  <si>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</si>
  <si>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</si>
  <si>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</si>
  <si>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</si>
  <si>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</si>
  <si>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</si>
  <si>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</si>
  <si>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</si>
  <si>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</si>
  <si>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</si>
  <si>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</si>
  <si>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</si>
  <si>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</si>
  <si>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</si>
  <si>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</si>
  <si>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</si>
  <si>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</si>
  <si>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</si>
  <si>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</si>
  <si>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</si>
  <si>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</si>
  <si>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</si>
  <si>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</si>
  <si>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</si>
  <si>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</si>
  <si>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</si>
  <si>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</si>
  <si>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</si>
  <si>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</si>
  <si>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</si>
  <si>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</si>
  <si>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</si>
  <si>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</si>
  <si>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</si>
  <si>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</si>
  <si>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</si>
  <si>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</si>
  <si>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</si>
  <si>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</si>
  <si>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</si>
  <si>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</si>
  <si>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</si>
  <si>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</si>
  <si>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</si>
  <si>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</si>
  <si>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</si>
  <si>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</si>
  <si>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</si>
  <si>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</si>
  <si>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</si>
  <si>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</si>
  <si>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</si>
  <si>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</si>
  <si>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</si>
  <si>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</si>
  <si>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</si>
  <si>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</si>
  <si>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</si>
  <si>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</si>
  <si>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</si>
  <si>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</si>
  <si>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</si>
  <si>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</si>
  <si>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</si>
  <si>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</si>
  <si>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</si>
  <si>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</si>
  <si>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</si>
  <si>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</si>
  <si>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</si>
  <si>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</si>
  <si>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</si>
  <si>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</si>
  <si>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</si>
  <si>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</si>
  <si>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</si>
  <si>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</si>
  <si>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</si>
  <si>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</si>
  <si>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</si>
  <si>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</si>
  <si>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</si>
  <si>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</si>
  <si>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</si>
  <si>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</si>
  <si>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</si>
  <si>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</si>
  <si>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</si>
  <si>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</si>
  <si>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</si>
  <si>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</si>
  <si>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</si>
  <si>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</si>
  <si>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</si>
  <si>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</si>
  <si>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</si>
  <si>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</si>
  <si>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</si>
  <si>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</si>
  <si>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</si>
  <si>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</si>
  <si>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</si>
  <si>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</si>
  <si>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</si>
  <si>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</si>
  <si>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</si>
  <si>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</si>
  <si>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</si>
  <si>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</si>
  <si>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</si>
  <si>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</si>
  <si>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</si>
  <si>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</si>
  <si>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</si>
  <si>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</si>
  <si>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</si>
  <si>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</si>
  <si>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</si>
  <si>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</si>
  <si>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</si>
  <si>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</si>
  <si>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</si>
  <si>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</si>
  <si>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</si>
  <si>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</si>
  <si>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</si>
  <si>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</si>
  <si>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</si>
  <si>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</si>
  <si>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</si>
  <si>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</si>
  <si>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</si>
  <si>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</si>
  <si>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</si>
  <si>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</si>
  <si>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</si>
  <si>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</si>
  <si>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</si>
  <si>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</si>
  <si>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</si>
  <si>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</si>
  <si>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</si>
  <si>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</si>
  <si>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</si>
  <si>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</si>
  <si>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</si>
  <si>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</si>
  <si>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</si>
  <si>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</si>
  <si>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</si>
  <si>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</si>
  <si>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</si>
  <si>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</si>
  <si>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</si>
  <si>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</si>
  <si>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</si>
  <si>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</si>
  <si>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</si>
  <si>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</si>
  <si>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</si>
  <si>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</si>
  <si>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</si>
  <si>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</si>
  <si>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</si>
  <si>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</si>
  <si>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</si>
  <si>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</si>
  <si>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</si>
  <si>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</si>
  <si>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</si>
  <si>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</si>
  <si>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</si>
  <si>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</si>
  <si>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</si>
  <si>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</si>
  <si>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</si>
  <si>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</si>
  <si>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</si>
  <si>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</si>
  <si>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</si>
  <si>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</si>
  <si>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</si>
  <si>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</si>
  <si>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</si>
  <si>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</si>
  <si>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</si>
  <si>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</si>
  <si>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</si>
  <si>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</si>
  <si>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</si>
  <si>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</si>
  <si>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</si>
  <si>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</si>
  <si>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</si>
  <si>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</si>
  <si>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</si>
  <si>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</si>
  <si>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</si>
  <si>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</si>
  <si>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</si>
  <si>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</si>
  <si>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</si>
  <si>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</si>
  <si>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</si>
  <si>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</si>
  <si>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</si>
  <si>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</si>
  <si>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</si>
  <si>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</si>
  <si>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</si>
  <si>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</si>
  <si>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</si>
  <si>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</si>
  <si>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</si>
  <si>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</si>
  <si>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</si>
  <si>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</si>
  <si>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</si>
  <si>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</si>
  <si>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</si>
  <si>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</si>
  <si>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</si>
  <si>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</si>
  <si>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</si>
  <si>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</si>
  <si>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</si>
  <si>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</si>
  <si>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</si>
  <si>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</si>
  <si>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</si>
  <si>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</si>
  <si>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</si>
  <si>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</si>
  <si>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</si>
  <si>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</si>
  <si>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</si>
  <si>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</si>
  <si>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</si>
  <si>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</si>
  <si>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</si>
  <si>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</si>
  <si>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</si>
  <si>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</si>
  <si>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</si>
  <si>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</si>
  <si>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</si>
  <si>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</si>
  <si>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</si>
  <si>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</si>
  <si>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</si>
  <si>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</si>
  <si>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</si>
  <si>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</si>
  <si>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</si>
  <si>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</si>
  <si>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</si>
  <si>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</si>
  <si>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</si>
  <si>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</si>
  <si>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</si>
  <si>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</si>
  <si>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</si>
  <si>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</si>
  <si>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</si>
  <si>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</si>
  <si>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</si>
  <si>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</si>
  <si>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</si>
  <si>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</si>
  <si>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</si>
  <si>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</si>
  <si>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</si>
  <si>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</si>
  <si>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</si>
  <si>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</si>
  <si>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</si>
  <si>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</si>
  <si>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</si>
  <si>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</si>
  <si>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</si>
  <si>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</si>
  <si>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</si>
  <si>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</si>
  <si>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</si>
  <si>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</si>
  <si>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</si>
  <si>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</si>
  <si>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</si>
  <si>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</si>
  <si>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</si>
  <si>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</si>
  <si>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</si>
  <si>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</si>
  <si>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</si>
  <si>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</si>
  <si>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</si>
  <si>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</si>
  <si>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</si>
  <si>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</si>
  <si>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</si>
  <si>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</si>
  <si>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</si>
  <si>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</si>
  <si>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</si>
  <si>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</si>
  <si>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</si>
  <si>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</si>
  <si>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</si>
  <si>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</si>
  <si>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</si>
  <si>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</si>
  <si>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</si>
  <si>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</si>
  <si>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</si>
  <si>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</si>
  <si>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</si>
  <si>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</si>
  <si>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</si>
  <si>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</si>
  <si>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</si>
  <si>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</si>
  <si>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</si>
  <si>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</si>
  <si>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</si>
  <si>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</si>
  <si>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</si>
  <si>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</si>
  <si>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</si>
  <si>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</si>
  <si>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</si>
  <si>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</si>
  <si>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</si>
  <si>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</si>
  <si>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</si>
  <si>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</si>
  <si>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</si>
  <si>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</si>
  <si>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</si>
  <si>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</si>
  <si>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</si>
  <si>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</si>
  <si>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</si>
  <si>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</si>
  <si>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</si>
  <si>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</si>
  <si>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</si>
  <si>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</si>
  <si>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</si>
  <si>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</si>
  <si>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</si>
  <si>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</si>
  <si>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</si>
  <si>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</si>
  <si>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</si>
  <si>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</si>
  <si>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</si>
  <si>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</si>
  <si>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</si>
  <si>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</si>
  <si>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</si>
  <si>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</si>
  <si>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</si>
  <si>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</si>
  <si>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</si>
  <si>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</si>
  <si>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</si>
  <si>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</si>
  <si>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</si>
  <si>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</si>
  <si>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</si>
  <si>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</si>
  <si>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</si>
  <si>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</si>
  <si>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</si>
  <si>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</si>
  <si>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</si>
  <si>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</si>
  <si>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</si>
  <si>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</si>
  <si>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</si>
  <si>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</si>
  <si>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</si>
  <si>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</si>
  <si>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</si>
  <si>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</si>
  <si>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</si>
  <si>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</si>
  <si>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</si>
  <si>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</si>
  <si>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</si>
  <si>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</si>
  <si>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</si>
  <si>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</si>
  <si>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</si>
  <si>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</si>
  <si>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</si>
  <si>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</si>
  <si>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</si>
  <si>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</si>
  <si>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</si>
  <si>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</si>
  <si>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</si>
  <si>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</si>
  <si>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</si>
  <si>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</si>
  <si>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</si>
  <si>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</si>
  <si>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</si>
  <si>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</si>
  <si>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</si>
  <si>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</si>
  <si>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</si>
  <si>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</si>
  <si>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</si>
  <si>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</si>
  <si>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</si>
  <si>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</si>
  <si>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</si>
  <si>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</si>
  <si>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</si>
  <si>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</si>
  <si>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</si>
  <si>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</si>
  <si>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</si>
  <si>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</si>
  <si>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</si>
  <si>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</si>
  <si>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</si>
  <si>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</si>
  <si>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</si>
  <si>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</si>
  <si>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</si>
  <si>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</si>
  <si>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</si>
  <si>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</si>
  <si>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</si>
  <si>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</si>
  <si>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</si>
  <si>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</si>
  <si>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</si>
  <si>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</si>
  <si>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</si>
  <si>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</si>
  <si>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</si>
  <si>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</si>
  <si>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</si>
  <si>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</si>
  <si>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</si>
  <si>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</si>
  <si>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</si>
  <si>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</si>
  <si>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</si>
  <si>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</si>
  <si>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</si>
  <si>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</si>
  <si>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</si>
  <si>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</si>
  <si>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</si>
  <si>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</si>
  <si>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</si>
  <si>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</si>
  <si>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</si>
  <si>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</si>
  <si>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</si>
  <si>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</si>
  <si>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</si>
  <si>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</si>
  <si>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</si>
  <si>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</si>
  <si>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</si>
  <si>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</si>
  <si>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</si>
  <si>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</si>
  <si>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</si>
  <si>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</si>
  <si>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</si>
  <si>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</si>
  <si>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</si>
  <si>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</si>
  <si>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</si>
  <si>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</si>
  <si>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</si>
  <si>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</si>
  <si>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</si>
  <si>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</si>
  <si>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</si>
  <si>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</si>
  <si>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</si>
  <si>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</si>
  <si>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</si>
  <si>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</si>
  <si>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</si>
  <si>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</si>
  <si>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</si>
  <si>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</si>
  <si>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</si>
  <si>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</si>
  <si>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</si>
  <si>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</si>
  <si>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</si>
  <si>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</si>
  <si>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</si>
  <si>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</si>
  <si>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</si>
  <si>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</si>
  <si>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</si>
  <si>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</si>
  <si>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</si>
  <si>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</si>
  <si>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</si>
  <si>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</si>
  <si>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</si>
  <si>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</si>
  <si>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</si>
  <si>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</si>
  <si>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</si>
  <si>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</si>
  <si>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</si>
  <si>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</si>
  <si>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</si>
  <si>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</si>
  <si>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</si>
  <si>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</si>
  <si>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</si>
  <si>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</si>
  <si>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</si>
  <si>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</si>
  <si>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</si>
  <si>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</si>
  <si>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</si>
  <si>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</si>
  <si>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</si>
  <si>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</si>
  <si>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</si>
  <si>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</si>
  <si>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</si>
  <si>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</si>
  <si>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</si>
  <si>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</si>
  <si>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</si>
  <si>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</si>
  <si>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</si>
  <si>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</si>
  <si>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</si>
  <si>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</si>
  <si>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</si>
  <si>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</si>
  <si>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</si>
  <si>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</si>
  <si>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</si>
  <si>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</si>
  <si>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</si>
  <si>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</si>
  <si>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</si>
  <si>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</si>
  <si>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</si>
  <si>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</si>
  <si>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</si>
  <si>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</si>
  <si>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</si>
  <si>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</si>
  <si>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</si>
  <si>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</si>
  <si>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</si>
  <si>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</si>
  <si>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</si>
  <si>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</si>
  <si>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</si>
  <si>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</si>
  <si>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</si>
  <si>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</si>
  <si>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</si>
  <si>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</si>
  <si>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</si>
  <si>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</si>
  <si>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</si>
  <si>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</si>
  <si>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</si>
  <si>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</si>
  <si>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</si>
  <si>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</si>
  <si>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</si>
  <si>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</si>
  <si>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</si>
  <si>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</si>
  <si>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</si>
  <si>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</si>
  <si>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</si>
  <si>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</si>
  <si>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</si>
  <si>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</si>
  <si>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</si>
  <si>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</si>
  <si>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</si>
  <si>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</si>
  <si>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</si>
  <si>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</si>
  <si>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</si>
  <si>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</si>
  <si>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</si>
  <si>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</si>
  <si>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</si>
  <si>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</si>
  <si>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</si>
  <si>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</si>
  <si>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</si>
  <si>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</si>
  <si>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</si>
  <si>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</si>
  <si>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</si>
  <si>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</si>
  <si>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</si>
  <si>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</si>
  <si>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</si>
  <si>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</si>
  <si>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</si>
  <si>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</si>
  <si>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</si>
  <si>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</si>
  <si>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</si>
  <si>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</si>
  <si>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</si>
  <si>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</si>
  <si>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</si>
  <si>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</si>
  <si>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</si>
  <si>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</si>
  <si>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</si>
  <si>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</si>
  <si>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</si>
  <si>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</si>
  <si>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</si>
  <si>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</si>
  <si>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</si>
  <si>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</si>
  <si>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</si>
  <si>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</si>
  <si>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</si>
  <si>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</si>
  <si>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</si>
  <si>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</si>
  <si>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</si>
  <si>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</si>
  <si>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</si>
  <si>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</si>
  <si>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</si>
  <si>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</si>
  <si>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</si>
  <si>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</si>
  <si>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</si>
  <si>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</si>
  <si>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</si>
  <si>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</si>
  <si>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</si>
  <si>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</si>
  <si>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</si>
  <si>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</si>
  <si>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</si>
  <si>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</si>
  <si>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</si>
  <si>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</si>
  <si>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</si>
  <si>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</si>
  <si>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</si>
  <si>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</si>
  <si>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</si>
  <si>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</si>
  <si>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</si>
  <si>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</si>
  <si>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</si>
  <si>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</si>
  <si>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</si>
  <si>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</si>
  <si>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</si>
  <si>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</si>
  <si>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</si>
  <si>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</si>
  <si>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</si>
  <si>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</si>
  <si>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</si>
  <si>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</si>
  <si>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</si>
  <si>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</si>
  <si>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</si>
  <si>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</si>
  <si>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</si>
  <si>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</si>
  <si>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</si>
  <si>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</si>
  <si>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</si>
  <si>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</si>
  <si>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</si>
  <si>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</si>
  <si>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</si>
  <si>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</si>
  <si>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</si>
  <si>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</si>
  <si>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</si>
  <si>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</si>
  <si>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</si>
  <si>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</si>
  <si>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</si>
  <si>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</si>
  <si>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</si>
  <si>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</si>
  <si>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</si>
  <si>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</si>
  <si>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</si>
  <si>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</si>
  <si>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</si>
  <si>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</si>
  <si>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</si>
  <si>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</si>
  <si>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</si>
  <si>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</si>
  <si>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</si>
  <si>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</si>
  <si>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</si>
  <si>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</si>
  <si>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</si>
  <si>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</si>
  <si>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</si>
  <si>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</si>
  <si>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</si>
  <si>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</si>
  <si>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</si>
  <si>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</si>
  <si>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</si>
  <si>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</si>
  <si>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</si>
  <si>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</si>
  <si>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</si>
  <si>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</si>
  <si>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</si>
  <si>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</si>
  <si>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</si>
  <si>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</si>
  <si>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</si>
  <si>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</si>
  <si>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</si>
  <si>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</si>
  <si>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</si>
  <si>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</si>
  <si>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</si>
  <si>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</si>
  <si>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</si>
  <si>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</si>
  <si>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</si>
  <si>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</si>
  <si>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</si>
  <si>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</si>
  <si>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</si>
  <si>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</si>
  <si>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</si>
  <si>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</si>
  <si>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</si>
  <si>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</si>
  <si>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</si>
  <si>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</si>
  <si>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</si>
  <si>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</si>
  <si>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</si>
  <si>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</si>
  <si>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</si>
  <si>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</si>
  <si>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</si>
  <si>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</si>
  <si>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</si>
  <si>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</si>
  <si>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</si>
  <si>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</si>
  <si>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</si>
  <si>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</si>
  <si>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</si>
  <si>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</si>
  <si>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</si>
  <si>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</si>
  <si>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</si>
  <si>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</si>
  <si>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</si>
  <si>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</si>
  <si>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</si>
  <si>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</si>
  <si>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</si>
  <si>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</si>
  <si>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</si>
  <si>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</si>
  <si>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</si>
  <si>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</si>
  <si>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</si>
  <si>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</si>
  <si>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</si>
  <si>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</si>
  <si>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</si>
  <si>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</si>
  <si>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</si>
  <si>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</si>
  <si>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</si>
  <si>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</si>
  <si>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</si>
  <si>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</si>
  <si>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</si>
  <si>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</si>
  <si>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</si>
  <si>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</si>
  <si>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</si>
  <si>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</si>
  <si>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</si>
  <si>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</si>
  <si>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</si>
  <si>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</si>
  <si>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</si>
  <si>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</si>
  <si>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</si>
  <si>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</si>
  <si>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</si>
  <si>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</si>
  <si>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</si>
  <si>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</si>
  <si>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</si>
  <si>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</si>
  <si>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</si>
  <si>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</si>
  <si>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</si>
  <si>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</si>
  <si>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</si>
  <si>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</si>
  <si>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</si>
  <si>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</si>
  <si>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</si>
  <si>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</si>
  <si>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</si>
  <si>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</si>
  <si>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</si>
  <si>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</si>
  <si>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</si>
  <si>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</si>
  <si>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</si>
  <si>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</si>
  <si>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</si>
  <si>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</si>
  <si>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</si>
  <si>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</si>
  <si>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</si>
  <si>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</si>
  <si>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</si>
  <si>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</si>
  <si>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</si>
  <si>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</si>
  <si>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</si>
  <si>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</si>
  <si>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</si>
  <si>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</si>
  <si>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</si>
  <si>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</si>
  <si>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</si>
  <si>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</si>
  <si>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</si>
  <si>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</si>
  <si>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</si>
  <si>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</si>
  <si>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</si>
  <si>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</si>
  <si>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</si>
  <si>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</si>
  <si>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</si>
  <si>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</si>
  <si>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</si>
  <si>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</si>
  <si>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</si>
  <si>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</si>
  <si>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</si>
  <si>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</si>
  <si>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</si>
  <si>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</si>
  <si>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</si>
  <si>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</si>
  <si>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</si>
  <si>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</si>
  <si>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</si>
  <si>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</si>
  <si>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</si>
  <si>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</si>
  <si>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</si>
  <si>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</si>
  <si>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</si>
  <si>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</si>
  <si>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</si>
  <si>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</si>
  <si>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</si>
  <si>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</si>
  <si>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</si>
  <si>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</si>
  <si>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</si>
  <si>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</si>
  <si>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</si>
  <si>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</si>
  <si>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</si>
  <si>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</si>
  <si>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</si>
  <si>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</si>
  <si>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</si>
  <si>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</si>
  <si>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</si>
  <si>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</si>
  <si>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</si>
  <si>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</si>
  <si>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</si>
  <si>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</si>
  <si>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</si>
  <si>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</si>
  <si>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</si>
  <si>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</si>
  <si>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</si>
  <si>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</si>
  <si>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</si>
  <si>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</si>
  <si>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</si>
  <si>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</si>
  <si>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</si>
  <si>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</si>
  <si>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</si>
  <si>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</si>
  <si>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</si>
  <si>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</si>
  <si>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</si>
  <si>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</si>
  <si>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</si>
  <si>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</si>
  <si>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</si>
  <si>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</si>
  <si>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</si>
  <si>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</si>
  <si>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</si>
  <si>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</si>
  <si>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</si>
  <si>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</si>
  <si>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</si>
  <si>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</si>
  <si>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</si>
  <si>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</si>
  <si>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</si>
  <si>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</si>
  <si>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</si>
  <si>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</si>
  <si>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</si>
  <si>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</si>
  <si>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</si>
  <si>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</si>
  <si>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</si>
  <si>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</si>
  <si>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</si>
  <si>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</si>
  <si>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</si>
  <si>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</si>
  <si>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</si>
  <si>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</si>
  <si>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</si>
  <si>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</si>
  <si>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</si>
  <si>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</si>
  <si>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</si>
  <si>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</si>
  <si>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</si>
  <si>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</si>
  <si>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</si>
  <si>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</si>
  <si>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</si>
  <si>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</si>
  <si>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</si>
  <si>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</si>
  <si>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</si>
  <si>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</si>
  <si>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</si>
  <si>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</si>
  <si>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</si>
  <si>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</si>
  <si>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</si>
  <si>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</si>
  <si>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</si>
  <si>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</si>
  <si>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</si>
  <si>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</si>
  <si>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</si>
  <si>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</si>
  <si>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</si>
  <si>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</si>
  <si>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</si>
  <si>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</si>
  <si>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</si>
  <si>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</si>
  <si>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</si>
  <si>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</si>
  <si>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</si>
  <si>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</si>
  <si>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</si>
  <si>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</si>
  <si>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</si>
  <si>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</si>
  <si>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</si>
  <si>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</si>
  <si>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</si>
  <si>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</si>
  <si>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</si>
  <si>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</si>
  <si>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</si>
  <si>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</si>
  <si>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</si>
  <si>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</si>
  <si>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</si>
  <si>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</si>
  <si>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</si>
  <si>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</si>
  <si>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</si>
  <si>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</si>
  <si>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</si>
  <si>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</si>
  <si>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</si>
  <si>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</si>
  <si>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</si>
  <si>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</si>
  <si>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</si>
  <si>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</si>
  <si>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</si>
  <si>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</si>
  <si>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</si>
  <si>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</si>
  <si>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</si>
  <si>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</si>
  <si>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</si>
  <si>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</si>
  <si>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</si>
  <si>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</si>
  <si>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</si>
  <si>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</si>
  <si>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</si>
  <si>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</si>
  <si>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</si>
  <si>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</si>
  <si>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</si>
  <si>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</si>
  <si>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</si>
  <si>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</si>
  <si>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</si>
  <si>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</si>
  <si>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</si>
  <si>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</si>
  <si>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</si>
  <si>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</si>
  <si>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</si>
  <si>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</si>
  <si>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</si>
  <si>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</si>
  <si>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</si>
  <si>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</si>
  <si>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</si>
  <si>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</si>
  <si>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</si>
  <si>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</si>
  <si>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</si>
  <si>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</si>
  <si>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</si>
  <si>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</si>
  <si>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</si>
  <si>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</si>
  <si>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</si>
  <si>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</si>
  <si>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</si>
  <si>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</si>
  <si>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</si>
  <si>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</si>
  <si>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</si>
  <si>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</si>
  <si>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</si>
  <si>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</si>
  <si>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</si>
  <si>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</si>
  <si>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</si>
  <si>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</si>
  <si>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</si>
  <si>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</si>
  <si>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</si>
  <si>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</si>
  <si>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</si>
  <si>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</si>
  <si>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</si>
  <si>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</si>
  <si>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</si>
  <si>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</si>
  <si>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</si>
  <si>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</si>
  <si>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</si>
  <si>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</si>
  <si>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</si>
  <si>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</si>
  <si>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</si>
  <si>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</si>
  <si>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</si>
  <si>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</si>
  <si>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</si>
  <si>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</si>
  <si>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</si>
  <si>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</si>
  <si>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</si>
  <si>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</si>
  <si>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</si>
  <si>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</si>
  <si>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</si>
  <si>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</si>
  <si>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</si>
  <si>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</si>
  <si>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</si>
  <si>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</si>
  <si>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</si>
  <si>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</si>
  <si>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</si>
  <si>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</si>
  <si>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</si>
  <si>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</si>
  <si>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</si>
  <si>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</si>
  <si>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</si>
  <si>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</si>
  <si>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</si>
  <si>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</si>
  <si>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</si>
  <si>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</si>
  <si>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</si>
  <si>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</si>
  <si>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</si>
  <si>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</si>
  <si>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</si>
  <si>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</si>
  <si>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</si>
  <si>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</si>
  <si>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</si>
  <si>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</si>
  <si>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</si>
  <si>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</si>
  <si>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</si>
  <si>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</si>
  <si>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</si>
  <si>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</si>
  <si>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</si>
  <si>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</si>
  <si>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</si>
  <si>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</si>
  <si>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</si>
  <si>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</si>
  <si>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</si>
  <si>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</si>
  <si>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</si>
  <si>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</si>
  <si>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</si>
  <si>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</si>
  <si>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</si>
  <si>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</si>
  <si>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</si>
  <si>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</si>
  <si>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</si>
  <si>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</si>
  <si>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</si>
  <si>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</si>
  <si>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</si>
  <si>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</si>
  <si>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</si>
  <si>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</si>
  <si>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</si>
  <si>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</si>
  <si>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</si>
  <si>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</si>
  <si>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</si>
  <si>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</si>
  <si>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</si>
  <si>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</si>
  <si>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</si>
  <si>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</si>
  <si>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</si>
  <si>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</si>
  <si>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</si>
  <si>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</si>
  <si>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</si>
  <si>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</si>
  <si>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</si>
  <si>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</si>
  <si>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</si>
  <si>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</si>
  <si>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</si>
  <si>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</si>
  <si>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</si>
  <si>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</si>
  <si>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</si>
  <si>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</si>
  <si>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</si>
  <si>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</si>
  <si>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</si>
  <si>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</si>
  <si>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</si>
  <si>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</si>
  <si>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</si>
  <si>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</si>
  <si>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</si>
  <si>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</si>
  <si>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</si>
  <si>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</si>
  <si>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</si>
  <si>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</si>
  <si>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</si>
  <si>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</si>
  <si>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</si>
  <si>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</si>
  <si>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</si>
  <si>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</si>
  <si>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</si>
  <si>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</si>
  <si>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</si>
  <si>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</si>
  <si>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</si>
  <si>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</si>
  <si>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</si>
  <si>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</si>
  <si>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</si>
  <si>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</si>
  <si>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</si>
  <si>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</si>
  <si>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</si>
  <si>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</si>
  <si>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</si>
  <si>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</si>
  <si>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</si>
  <si>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</si>
  <si>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</si>
  <si>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</si>
  <si>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</si>
  <si>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</si>
  <si>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</si>
  <si>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</si>
  <si>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</si>
  <si>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</si>
  <si>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</si>
  <si>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</si>
  <si>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</si>
  <si>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</si>
  <si>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</si>
  <si>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</si>
  <si>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</si>
  <si>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</si>
  <si>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</si>
  <si>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</si>
  <si>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</si>
  <si>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</si>
  <si>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</si>
  <si>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</si>
  <si>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</si>
  <si>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</si>
  <si>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</si>
  <si>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</si>
  <si>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</si>
  <si>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</si>
  <si>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</si>
  <si>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</si>
  <si>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</si>
  <si>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</si>
  <si>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</si>
  <si>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</si>
  <si>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</si>
  <si>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</si>
  <si>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</si>
  <si>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</si>
  <si>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</si>
  <si>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</si>
  <si>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</si>
  <si>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</si>
  <si>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</si>
  <si>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</si>
  <si>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</si>
  <si>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</si>
  <si>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</si>
  <si>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</si>
  <si>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</si>
  <si>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</si>
  <si>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</si>
  <si>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</si>
  <si>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</si>
  <si>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</si>
  <si>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</si>
  <si>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</si>
  <si>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</si>
  <si>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</si>
  <si>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</si>
  <si>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</si>
  <si>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</si>
  <si>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</si>
  <si>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</si>
  <si>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</si>
  <si>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</si>
  <si>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</si>
  <si>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</si>
  <si>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</si>
  <si>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</si>
  <si>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</si>
  <si>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</si>
  <si>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</si>
  <si>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</si>
  <si>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</si>
  <si>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</si>
  <si>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</si>
  <si>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</si>
  <si>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</si>
  <si>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</si>
  <si>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</si>
  <si>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</si>
  <si>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</si>
  <si>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</si>
  <si>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</si>
  <si>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</si>
  <si>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</si>
  <si>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</si>
  <si>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</si>
  <si>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</si>
  <si>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</si>
  <si>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</si>
  <si>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</si>
  <si>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</si>
  <si>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</si>
  <si>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</si>
  <si>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</si>
  <si>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</si>
  <si>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</si>
  <si>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</si>
  <si>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</si>
  <si>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</si>
  <si>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</si>
  <si>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</si>
  <si>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</si>
  <si>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</si>
  <si>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</si>
  <si>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</si>
  <si>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</si>
  <si>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</si>
  <si>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</si>
  <si>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</si>
  <si>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</si>
  <si>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</si>
  <si>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</si>
  <si>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</si>
  <si>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</si>
  <si>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</si>
  <si>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</si>
  <si>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</si>
  <si>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</si>
  <si>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</si>
  <si>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</si>
  <si>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</si>
  <si>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</si>
  <si>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</si>
  <si>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</si>
  <si>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</si>
  <si>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</si>
  <si>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</si>
  <si>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</si>
  <si>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</si>
  <si>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</si>
  <si>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</si>
  <si>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</si>
  <si>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</si>
  <si>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</si>
  <si>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</si>
  <si>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</si>
  <si>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</si>
  <si>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</si>
  <si>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</si>
  <si>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</si>
  <si>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</si>
  <si>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</si>
  <si>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</si>
  <si>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</si>
  <si>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</si>
  <si>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</si>
  <si>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</si>
  <si>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</si>
  <si>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</si>
  <si>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</si>
  <si>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</si>
  <si>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</si>
  <si>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</si>
  <si>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</si>
  <si>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</si>
  <si>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</si>
  <si>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</si>
  <si>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</si>
  <si>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</si>
  <si>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</si>
  <si>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</si>
  <si>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</si>
  <si>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</si>
  <si>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</si>
  <si>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</si>
  <si>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</si>
  <si>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</si>
  <si>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</si>
  <si>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</si>
  <si>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</si>
  <si>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</si>
  <si>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</si>
  <si>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</si>
  <si>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</si>
  <si>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Precious Metal Sales, Inc.</t>
  </si>
  <si>
    <t>100 New Wood Road, Watertown, CT 06795</t>
  </si>
  <si>
    <t>Krista Upson</t>
  </si>
  <si>
    <t>krista@pmsalesinc.com</t>
  </si>
  <si>
    <t>8602748813</t>
  </si>
  <si>
    <t>Anthony Luccaro</t>
  </si>
  <si>
    <t>President</t>
  </si>
  <si>
    <t>here4u@pmsalesinc.com</t>
  </si>
  <si>
    <t xml:space="preserve">One Smelter declares that it does business with very limited industrial mines situated in CAHRA's. All of this smelter's customers operating in these areas are part of international listed companies with a very strong commitment to compliance. All those companies meet all requirements of this smelter's due diligence &amp; compliance process in line with LBMA, RJC &amp; OECD guidelines. The smelter's business in CAHRA's does not -in any way- finance armed groups, forced labour and other human rights abuses, or support corruption &amp; money laundering. </t>
  </si>
  <si>
    <t>Potassium Gold Cyanide (PGC) is solely manufactured from recycled &amp; scrap sources</t>
  </si>
  <si>
    <t>100%</t>
  </si>
  <si>
    <t>We do require, but not validated by a third party.</t>
  </si>
  <si>
    <t>cid001157</t>
  </si>
  <si>
    <t>255 John L Dietsch Boulevard</t>
  </si>
  <si>
    <t>Samantha McCourt</t>
  </si>
  <si>
    <t>Samantha.McCourt@metalor.com</t>
  </si>
  <si>
    <t>Mining, recycled &amp; scrap 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</si>
</sst>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61"/>
      <c r="B2" s="4" t="s">
        <v>807</v>
      </c>
      <c r="C2" s="2"/>
      <c r="D2" s="159"/>
      <c r="E2" s="2"/>
      <c r="F2" s="2"/>
      <c r="G2" s="24"/>
    </row>
    <row r="3" spans="1:7">
      <c r="A3" s="361"/>
      <c r="B3" s="2" t="s">
        <v>800</v>
      </c>
      <c r="C3" s="4"/>
      <c r="D3" s="160"/>
      <c r="E3" s="2"/>
      <c r="F3" s="4"/>
      <c r="G3" s="24"/>
    </row>
    <row r="4" spans="1:7" ht="15.75">
      <c r="A4" s="361"/>
      <c r="B4" s="27" t="s">
        <v>809</v>
      </c>
      <c r="C4" s="5"/>
      <c r="D4" s="161"/>
      <c r="E4" s="2"/>
      <c r="F4" s="5"/>
      <c r="G4" s="24"/>
    </row>
    <row r="5" spans="1:7">
      <c r="A5" s="361"/>
      <c r="B5" s="26" t="s">
        <v>998</v>
      </c>
      <c r="C5" s="3"/>
      <c r="D5" s="162"/>
      <c r="E5" s="2"/>
      <c r="F5" s="3"/>
      <c r="G5" s="24"/>
    </row>
    <row r="6" spans="1:7">
      <c r="A6" s="361"/>
      <c r="B6" s="2"/>
      <c r="C6" s="2"/>
      <c r="D6" s="159"/>
      <c r="E6" s="2"/>
      <c r="F6" s="2"/>
      <c r="G6" s="24"/>
    </row>
    <row r="7" spans="1:7">
      <c r="A7" s="361"/>
      <c r="B7" s="2"/>
      <c r="C7" s="2"/>
      <c r="D7" s="159"/>
      <c r="E7" s="2"/>
      <c r="F7" s="2"/>
      <c r="G7" s="24"/>
    </row>
    <row r="8" spans="1:7">
      <c r="A8" s="361"/>
      <c r="B8" s="2"/>
      <c r="C8" s="2"/>
      <c r="D8" s="159"/>
      <c r="E8" s="2"/>
      <c r="F8" s="2"/>
      <c r="G8" s="24"/>
    </row>
    <row r="9" spans="1:7">
      <c r="A9" s="361"/>
      <c r="B9" s="364" t="s">
        <v>810</v>
      </c>
      <c r="C9" s="364"/>
      <c r="D9" s="364"/>
      <c r="E9" s="364"/>
      <c r="F9" s="364"/>
      <c r="G9" s="24"/>
    </row>
    <row r="10" spans="1:7" ht="27" customHeight="1">
      <c r="A10" s="361"/>
      <c r="B10" s="365" t="s">
        <v>423</v>
      </c>
      <c r="C10" s="365"/>
      <c r="D10" s="365"/>
      <c r="E10" s="365"/>
      <c r="F10" s="365"/>
      <c r="G10" s="24"/>
    </row>
    <row r="11" spans="1:7" ht="27" customHeight="1">
      <c r="A11" s="361"/>
      <c r="B11" s="366"/>
      <c r="C11" s="366"/>
      <c r="D11" s="366"/>
      <c r="E11" s="366"/>
      <c r="F11" s="366"/>
      <c r="G11" s="24"/>
    </row>
    <row r="12" spans="1:7">
      <c r="A12" s="361"/>
      <c r="B12" s="28" t="s">
        <v>808</v>
      </c>
      <c r="C12" s="29" t="s">
        <v>811</v>
      </c>
      <c r="D12" s="163" t="s">
        <v>812</v>
      </c>
      <c r="E12" s="29" t="s">
        <v>593</v>
      </c>
      <c r="F12" s="29" t="s">
        <v>594</v>
      </c>
      <c r="G12" s="24"/>
    </row>
    <row r="13" spans="1:7" ht="33.75">
      <c r="A13" s="361"/>
      <c r="B13" s="275">
        <v>1</v>
      </c>
      <c r="C13" s="276" t="s">
        <v>1046</v>
      </c>
      <c r="D13" s="277" t="s">
        <v>836</v>
      </c>
      <c r="E13" s="278" t="s">
        <v>813</v>
      </c>
      <c r="F13" s="278"/>
      <c r="G13" s="24"/>
    </row>
    <row r="14" spans="1:7" ht="56.25">
      <c r="A14" s="361"/>
      <c r="B14" s="275">
        <v>2</v>
      </c>
      <c r="C14" s="276" t="s">
        <v>1046</v>
      </c>
      <c r="D14" s="277" t="s">
        <v>983</v>
      </c>
      <c r="E14" s="278" t="s">
        <v>513</v>
      </c>
      <c r="F14" s="278" t="s">
        <v>514</v>
      </c>
      <c r="G14" s="24"/>
    </row>
    <row r="15" spans="1:7" ht="89.1" customHeight="1">
      <c r="A15" s="361"/>
      <c r="B15" s="367">
        <v>2.0099999999999998</v>
      </c>
      <c r="C15" s="358" t="s">
        <v>1046</v>
      </c>
      <c r="D15" s="370" t="s">
        <v>2150</v>
      </c>
      <c r="E15" s="279" t="s">
        <v>595</v>
      </c>
      <c r="F15" s="279" t="s">
        <v>598</v>
      </c>
      <c r="G15" s="24"/>
    </row>
    <row r="16" spans="1:7" ht="99" customHeight="1">
      <c r="A16" s="361"/>
      <c r="B16" s="368"/>
      <c r="C16" s="359"/>
      <c r="D16" s="371"/>
      <c r="E16" s="280"/>
      <c r="F16" s="280" t="s">
        <v>596</v>
      </c>
      <c r="G16" s="24"/>
    </row>
    <row r="17" spans="1:7" ht="63" customHeight="1">
      <c r="A17" s="361"/>
      <c r="B17" s="369"/>
      <c r="C17" s="360"/>
      <c r="D17" s="372"/>
      <c r="E17" s="276"/>
      <c r="F17" s="276" t="s">
        <v>597</v>
      </c>
      <c r="G17" s="24"/>
    </row>
    <row r="18" spans="1:7" ht="117" customHeight="1">
      <c r="A18" s="361"/>
      <c r="B18" s="367">
        <v>2.02</v>
      </c>
      <c r="C18" s="358" t="s">
        <v>1046</v>
      </c>
      <c r="D18" s="370" t="s">
        <v>2151</v>
      </c>
      <c r="E18" s="279" t="s">
        <v>424</v>
      </c>
      <c r="F18" s="279" t="s">
        <v>508</v>
      </c>
      <c r="G18" s="24"/>
    </row>
    <row r="19" spans="1:7" ht="71.099999999999994" customHeight="1">
      <c r="A19" s="361"/>
      <c r="B19" s="368"/>
      <c r="C19" s="359"/>
      <c r="D19" s="371"/>
      <c r="E19" s="280" t="s">
        <v>512</v>
      </c>
      <c r="F19" s="280" t="s">
        <v>425</v>
      </c>
      <c r="G19" s="24"/>
    </row>
    <row r="20" spans="1:7" ht="90.75" customHeight="1">
      <c r="A20" s="361"/>
      <c r="B20" s="368"/>
      <c r="C20" s="359"/>
      <c r="D20" s="371"/>
      <c r="E20" s="280"/>
      <c r="F20" s="280" t="s">
        <v>600</v>
      </c>
      <c r="G20" s="24"/>
    </row>
    <row r="21" spans="1:7" ht="74.25" customHeight="1">
      <c r="A21" s="361"/>
      <c r="B21" s="369"/>
      <c r="C21" s="360"/>
      <c r="D21" s="372"/>
      <c r="E21" s="276"/>
      <c r="F21" s="276" t="s">
        <v>599</v>
      </c>
      <c r="G21" s="24"/>
    </row>
    <row r="22" spans="1:7" ht="90" customHeight="1">
      <c r="A22" s="361"/>
      <c r="B22" s="376">
        <v>2.0299999999999998</v>
      </c>
      <c r="C22" s="376" t="s">
        <v>783</v>
      </c>
      <c r="D22" s="379" t="s">
        <v>2152</v>
      </c>
      <c r="E22" s="358" t="s">
        <v>422</v>
      </c>
      <c r="F22" s="279" t="s">
        <v>445</v>
      </c>
      <c r="G22" s="24"/>
    </row>
    <row r="23" spans="1:7" ht="109.5" customHeight="1">
      <c r="A23" s="361"/>
      <c r="B23" s="377"/>
      <c r="C23" s="377"/>
      <c r="D23" s="380"/>
      <c r="E23" s="359"/>
      <c r="F23" s="280" t="s">
        <v>784</v>
      </c>
      <c r="G23" s="24"/>
    </row>
    <row r="24" spans="1:7" ht="74.25" customHeight="1">
      <c r="A24" s="361"/>
      <c r="B24" s="378"/>
      <c r="C24" s="378"/>
      <c r="D24" s="381"/>
      <c r="E24" s="360"/>
      <c r="F24" s="276" t="s">
        <v>421</v>
      </c>
      <c r="G24" s="24"/>
    </row>
    <row r="25" spans="1:7" ht="72" customHeight="1">
      <c r="A25" s="361"/>
      <c r="B25" s="275" t="s">
        <v>443</v>
      </c>
      <c r="C25" s="276" t="s">
        <v>444</v>
      </c>
      <c r="D25" s="277" t="s">
        <v>2153</v>
      </c>
      <c r="E25" s="276" t="s">
        <v>2148</v>
      </c>
      <c r="F25" s="276" t="s">
        <v>446</v>
      </c>
      <c r="G25" s="24"/>
    </row>
    <row r="26" spans="1:7" ht="98.1" customHeight="1">
      <c r="A26" s="361"/>
      <c r="B26" s="373">
        <v>3</v>
      </c>
      <c r="C26" s="367" t="s">
        <v>66</v>
      </c>
      <c r="D26" s="370" t="s">
        <v>2154</v>
      </c>
      <c r="E26" s="358" t="s">
        <v>0</v>
      </c>
      <c r="F26" s="279" t="s">
        <v>60</v>
      </c>
      <c r="G26" s="24"/>
    </row>
    <row r="27" spans="1:7" ht="90" customHeight="1">
      <c r="A27" s="361"/>
      <c r="B27" s="374"/>
      <c r="C27" s="368"/>
      <c r="D27" s="371"/>
      <c r="E27" s="359"/>
      <c r="F27" s="280" t="s">
        <v>55</v>
      </c>
      <c r="G27" s="24"/>
    </row>
    <row r="28" spans="1:7" ht="19.350000000000001" customHeight="1">
      <c r="A28" s="361"/>
      <c r="B28" s="374"/>
      <c r="C28" s="368"/>
      <c r="D28" s="371"/>
      <c r="E28" s="359"/>
      <c r="F28" s="280" t="s">
        <v>56</v>
      </c>
      <c r="G28" s="24"/>
    </row>
    <row r="29" spans="1:7" ht="74.45" customHeight="1">
      <c r="A29" s="361"/>
      <c r="B29" s="374"/>
      <c r="C29" s="368"/>
      <c r="D29" s="371"/>
      <c r="E29" s="359"/>
      <c r="F29" s="280" t="s">
        <v>57</v>
      </c>
      <c r="G29" s="24"/>
    </row>
    <row r="30" spans="1:7" ht="62.45" customHeight="1">
      <c r="A30" s="361"/>
      <c r="B30" s="374"/>
      <c r="C30" s="368"/>
      <c r="D30" s="371"/>
      <c r="E30" s="359"/>
      <c r="F30" s="280" t="s">
        <v>58</v>
      </c>
      <c r="G30" s="24"/>
    </row>
    <row r="31" spans="1:7" ht="81" customHeight="1">
      <c r="A31" s="361"/>
      <c r="B31" s="374"/>
      <c r="C31" s="368"/>
      <c r="D31" s="371"/>
      <c r="E31" s="359"/>
      <c r="F31" s="280" t="s">
        <v>59</v>
      </c>
      <c r="G31" s="24"/>
    </row>
    <row r="32" spans="1:7" ht="48.75" customHeight="1">
      <c r="A32" s="361"/>
      <c r="B32" s="374"/>
      <c r="C32" s="368"/>
      <c r="D32" s="371"/>
      <c r="E32" s="359"/>
      <c r="F32" s="280" t="s">
        <v>62</v>
      </c>
      <c r="G32" s="24"/>
    </row>
    <row r="33" spans="1:7" ht="98.45" customHeight="1">
      <c r="A33" s="361"/>
      <c r="B33" s="374"/>
      <c r="C33" s="368"/>
      <c r="D33" s="371"/>
      <c r="E33" s="359"/>
      <c r="F33" s="280" t="s">
        <v>61</v>
      </c>
      <c r="G33" s="24"/>
    </row>
    <row r="34" spans="1:7" ht="89.1" customHeight="1">
      <c r="A34" s="361"/>
      <c r="B34" s="374"/>
      <c r="C34" s="368"/>
      <c r="D34" s="371"/>
      <c r="E34" s="359"/>
      <c r="F34" s="280" t="s">
        <v>63</v>
      </c>
      <c r="G34" s="24"/>
    </row>
    <row r="35" spans="1:7" ht="29.1" customHeight="1">
      <c r="A35" s="361"/>
      <c r="B35" s="374"/>
      <c r="C35" s="368"/>
      <c r="D35" s="371"/>
      <c r="E35" s="359"/>
      <c r="F35" s="280" t="s">
        <v>64</v>
      </c>
      <c r="G35" s="24"/>
    </row>
    <row r="36" spans="1:7" ht="147">
      <c r="A36" s="361"/>
      <c r="B36" s="375"/>
      <c r="C36" s="369"/>
      <c r="D36" s="372"/>
      <c r="E36" s="360"/>
      <c r="F36" s="282" t="s">
        <v>65</v>
      </c>
      <c r="G36" s="24"/>
    </row>
    <row r="37" spans="1:7" ht="157.5">
      <c r="A37" s="361"/>
      <c r="B37" s="281">
        <v>3.01</v>
      </c>
      <c r="C37" s="283" t="s">
        <v>66</v>
      </c>
      <c r="D37" s="277" t="s">
        <v>2155</v>
      </c>
      <c r="E37" s="284" t="s">
        <v>1282</v>
      </c>
      <c r="F37" s="285" t="s">
        <v>1384</v>
      </c>
      <c r="G37" s="24"/>
    </row>
    <row r="38" spans="1:7" ht="146.25">
      <c r="A38" s="361"/>
      <c r="B38" s="281">
        <v>3.02</v>
      </c>
      <c r="C38" s="283" t="s">
        <v>1314</v>
      </c>
      <c r="D38" s="277" t="s">
        <v>2156</v>
      </c>
      <c r="E38" s="284" t="s">
        <v>1329</v>
      </c>
      <c r="F38" s="285" t="s">
        <v>1385</v>
      </c>
      <c r="G38" s="24"/>
    </row>
    <row r="39" spans="1:7" ht="112.5">
      <c r="A39" s="361"/>
      <c r="B39" s="286">
        <v>4</v>
      </c>
      <c r="C39" s="287" t="s">
        <v>1480</v>
      </c>
      <c r="D39" s="277" t="s">
        <v>2157</v>
      </c>
      <c r="E39" s="276" t="s">
        <v>2104</v>
      </c>
      <c r="F39" s="276" t="s">
        <v>1481</v>
      </c>
      <c r="G39" s="24"/>
    </row>
    <row r="40" spans="1:7" ht="67.5">
      <c r="A40" s="361"/>
      <c r="B40" s="281">
        <v>4.01</v>
      </c>
      <c r="C40" s="287" t="s">
        <v>1480</v>
      </c>
      <c r="D40" s="277" t="s">
        <v>2159</v>
      </c>
      <c r="E40" s="276" t="s">
        <v>2116</v>
      </c>
      <c r="F40" s="276" t="s">
        <v>2120</v>
      </c>
      <c r="G40" s="24"/>
    </row>
    <row r="41" spans="1:7" ht="67.5">
      <c r="A41" s="361"/>
      <c r="B41" s="281" t="s">
        <v>2146</v>
      </c>
      <c r="C41" s="287" t="s">
        <v>1480</v>
      </c>
      <c r="D41" s="277" t="s">
        <v>2158</v>
      </c>
      <c r="E41" s="276" t="s">
        <v>2149</v>
      </c>
      <c r="F41" s="276" t="s">
        <v>2147</v>
      </c>
      <c r="G41" s="24"/>
    </row>
    <row r="42" spans="1:7" ht="67.5">
      <c r="A42" s="361"/>
      <c r="B42" s="281" t="s">
        <v>2173</v>
      </c>
      <c r="C42" s="287" t="s">
        <v>1480</v>
      </c>
      <c r="D42" s="277" t="s">
        <v>2178</v>
      </c>
      <c r="E42" s="276" t="s">
        <v>2148</v>
      </c>
      <c r="F42" s="276" t="s">
        <v>2174</v>
      </c>
      <c r="G42" s="24"/>
    </row>
    <row r="43" spans="1:7" ht="191.25">
      <c r="A43" s="361"/>
      <c r="B43" s="288">
        <v>4.0999999999999996</v>
      </c>
      <c r="C43" s="287" t="s">
        <v>2177</v>
      </c>
      <c r="D43" s="289">
        <v>42867</v>
      </c>
      <c r="E43" s="290" t="s">
        <v>2180</v>
      </c>
      <c r="F43" s="276" t="s">
        <v>2179</v>
      </c>
      <c r="G43" s="24"/>
    </row>
    <row r="44" spans="1:7" ht="112.5">
      <c r="A44" s="361"/>
      <c r="B44" s="288">
        <v>4.2</v>
      </c>
      <c r="C44" s="287" t="s">
        <v>2177</v>
      </c>
      <c r="D44" s="289">
        <v>42704</v>
      </c>
      <c r="E44" s="290" t="s">
        <v>2369</v>
      </c>
      <c r="F44" s="276" t="s">
        <v>2344</v>
      </c>
      <c r="G44" s="24"/>
    </row>
    <row r="45" spans="1:7" ht="213.75">
      <c r="A45" s="361"/>
      <c r="B45" s="291">
        <v>5</v>
      </c>
      <c r="C45" s="287" t="s">
        <v>2177</v>
      </c>
      <c r="D45" s="289">
        <v>42867</v>
      </c>
      <c r="E45" s="290" t="s">
        <v>12256</v>
      </c>
      <c r="F45" s="276" t="s">
        <v>11978</v>
      </c>
      <c r="G45" s="24"/>
    </row>
    <row r="46" spans="1:7" ht="56.25">
      <c r="A46" s="361"/>
      <c r="B46" s="288">
        <v>5.01</v>
      </c>
      <c r="C46" s="287" t="s">
        <v>2177</v>
      </c>
      <c r="D46" s="289">
        <v>42907</v>
      </c>
      <c r="E46" s="290" t="s">
        <v>14886</v>
      </c>
      <c r="F46" s="276" t="s">
        <v>11978</v>
      </c>
      <c r="G46" s="24"/>
    </row>
    <row r="47" spans="1:7" ht="101.25">
      <c r="A47" s="361"/>
      <c r="B47" s="288">
        <v>5.0999999999999996</v>
      </c>
      <c r="C47" s="287" t="s">
        <v>2177</v>
      </c>
      <c r="D47" s="289">
        <v>43070</v>
      </c>
      <c r="E47" s="290" t="s">
        <v>12456</v>
      </c>
      <c r="F47" s="276" t="s">
        <v>12457</v>
      </c>
      <c r="G47" s="24"/>
    </row>
    <row r="48" spans="1:7" ht="90">
      <c r="A48" s="361"/>
      <c r="B48" s="288">
        <v>5.1100000000000003</v>
      </c>
      <c r="C48" s="287" t="s">
        <v>12684</v>
      </c>
      <c r="D48" s="289">
        <v>43217</v>
      </c>
      <c r="E48" s="290" t="s">
        <v>12786</v>
      </c>
      <c r="F48" s="276" t="s">
        <v>12711</v>
      </c>
      <c r="G48" s="24"/>
    </row>
    <row r="49" spans="1:7" ht="90">
      <c r="A49" s="361"/>
      <c r="B49" s="288">
        <v>5.12</v>
      </c>
      <c r="C49" s="287" t="s">
        <v>12684</v>
      </c>
      <c r="D49" s="289">
        <v>43581</v>
      </c>
      <c r="E49" s="290" t="s">
        <v>12786</v>
      </c>
      <c r="F49" s="276" t="s">
        <v>13315</v>
      </c>
      <c r="G49" s="24"/>
    </row>
    <row r="50" spans="1:7" ht="112.5">
      <c r="A50" s="361"/>
      <c r="B50" s="291">
        <v>6</v>
      </c>
      <c r="C50" s="287" t="s">
        <v>12684</v>
      </c>
      <c r="D50" s="289">
        <v>43964</v>
      </c>
      <c r="E50" s="290" t="s">
        <v>13527</v>
      </c>
      <c r="F50" s="276" t="s">
        <v>13318</v>
      </c>
      <c r="G50" s="24"/>
    </row>
    <row r="51" spans="1:7" ht="56.25">
      <c r="A51" s="361"/>
      <c r="B51" s="288">
        <v>6.01</v>
      </c>
      <c r="C51" s="287" t="s">
        <v>12684</v>
      </c>
      <c r="D51" s="289">
        <v>43970</v>
      </c>
      <c r="E51" s="290" t="s">
        <v>14887</v>
      </c>
      <c r="F51" s="290" t="s">
        <v>13318</v>
      </c>
      <c r="G51" s="24"/>
    </row>
    <row r="52" spans="1:7" ht="56.25">
      <c r="A52" s="361"/>
      <c r="B52" s="288">
        <v>6.1</v>
      </c>
      <c r="C52" s="287" t="s">
        <v>12684</v>
      </c>
      <c r="D52" s="289">
        <v>44314</v>
      </c>
      <c r="E52" s="290" t="s">
        <v>14880</v>
      </c>
      <c r="F52" s="290" t="s">
        <v>14487</v>
      </c>
      <c r="G52" s="24"/>
    </row>
    <row r="53" spans="1:7" ht="56.25">
      <c r="A53" s="361"/>
      <c r="B53" s="288">
        <v>6.2</v>
      </c>
      <c r="C53" s="287" t="s">
        <v>12684</v>
      </c>
      <c r="D53" s="289">
        <v>44678</v>
      </c>
      <c r="E53" s="290" t="s">
        <v>14880</v>
      </c>
      <c r="F53" s="290" t="s">
        <v>14879</v>
      </c>
      <c r="G53" s="24"/>
    </row>
    <row r="54" spans="1:7" ht="56.25">
      <c r="A54" s="361"/>
      <c r="B54" s="288">
        <v>6.21</v>
      </c>
      <c r="C54" s="287" t="s">
        <v>12684</v>
      </c>
      <c r="D54" s="289">
        <v>44687</v>
      </c>
      <c r="E54" s="290" t="s">
        <v>14888</v>
      </c>
      <c r="F54" s="290" t="s">
        <v>14879</v>
      </c>
      <c r="G54" s="24"/>
    </row>
    <row r="55" spans="1:7" ht="56.25">
      <c r="A55" s="361"/>
      <c r="B55" s="288">
        <v>6.22</v>
      </c>
      <c r="C55" s="287" t="s">
        <v>12684</v>
      </c>
      <c r="D55" s="292">
        <v>44692</v>
      </c>
      <c r="E55" s="290" t="s">
        <v>14887</v>
      </c>
      <c r="F55" s="290" t="s">
        <v>14879</v>
      </c>
      <c r="G55" s="24"/>
    </row>
    <row r="56" spans="1:7" ht="90">
      <c r="A56" s="361"/>
      <c r="B56" s="291">
        <v>6.3</v>
      </c>
      <c r="C56" s="287" t="s">
        <v>12684</v>
      </c>
      <c r="D56" s="292">
        <v>45051</v>
      </c>
      <c r="E56" s="290" t="s">
        <v>15144</v>
      </c>
      <c r="F56" s="290" t="s">
        <v>14925</v>
      </c>
      <c r="G56" s="24"/>
    </row>
    <row r="57" spans="1:7" ht="56.25">
      <c r="A57" s="361"/>
      <c r="B57" s="288">
        <v>6.31</v>
      </c>
      <c r="C57" s="287" t="s">
        <v>12684</v>
      </c>
      <c r="D57" s="292">
        <v>45072</v>
      </c>
      <c r="E57" s="290" t="s">
        <v>15146</v>
      </c>
      <c r="F57" s="290" t="s">
        <v>14925</v>
      </c>
      <c r="G57" s="24"/>
    </row>
    <row r="58" spans="1:7" ht="56.25">
      <c r="A58" s="361"/>
      <c r="B58" s="291">
        <v>6.4</v>
      </c>
      <c r="C58" s="287" t="s">
        <v>12684</v>
      </c>
      <c r="D58" s="292">
        <v>45408</v>
      </c>
      <c r="E58" s="290" t="s">
        <v>15148</v>
      </c>
      <c r="F58" s="290" t="s">
        <v>15147</v>
      </c>
      <c r="G58" s="24"/>
    </row>
    <row r="59" spans="1:7" ht="56.25">
      <c r="A59" s="361"/>
      <c r="B59" s="291">
        <v>6.5</v>
      </c>
      <c r="C59" s="287" t="s">
        <v>12684</v>
      </c>
      <c r="D59" s="292">
        <v>45772</v>
      </c>
      <c r="E59" s="290" t="s">
        <v>15217</v>
      </c>
      <c r="F59" s="290" t="s">
        <v>15259</v>
      </c>
      <c r="G59" s="24"/>
    </row>
    <row r="60" spans="1:7" ht="90">
      <c r="A60" s="361"/>
      <c r="B60" s="291">
        <v>6.6</v>
      </c>
      <c r="C60" s="287" t="s">
        <v>12684</v>
      </c>
      <c r="D60" s="292">
        <v>46129</v>
      </c>
      <c r="E60" s="290" t="s">
        <v>15870</v>
      </c>
      <c r="F60" s="293" t="s">
        <v>15352</v>
      </c>
      <c r="G60" s="24"/>
    </row>
    <row r="61" spans="1:7" ht="13.5" thickBot="1">
      <c r="A61" s="362"/>
      <c r="B61" s="363" t="str">
        <f ca="1">OFFSET(L!$C$1,MATCH("General"&amp;"Cpy",L!$A:$A,0)-1,SL,,)</f>
        <v>© 2026 Responsible Minerals Initiative. All rights reserved.</v>
      </c>
      <c r="C61" s="363"/>
      <c r="D61" s="363"/>
      <c r="E61" s="363"/>
      <c r="F61" s="363"/>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108B271-604E-4F1B-8534-4D6EFB08735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84587A2-75AA-469F-A51E-4821179D9C0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3.9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3.5" thickBot="1">
      <c r="A33" s="72"/>
      <c r="B33" s="146"/>
      <c r="C33" s="146"/>
      <c r="D33" s="387"/>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12"/>
      <c r="B1" s="313"/>
      <c r="C1" s="313"/>
      <c r="D1" s="313"/>
      <c r="E1" s="313"/>
      <c r="F1" s="313"/>
      <c r="G1" s="313"/>
      <c r="H1" s="313"/>
      <c r="I1" s="313"/>
      <c r="J1" s="313"/>
      <c r="K1" s="314"/>
      <c r="L1" s="97"/>
      <c r="P1" s="2"/>
      <c r="Q1" s="2"/>
      <c r="R1" s="2"/>
      <c r="S1" s="2"/>
      <c r="T1" s="2"/>
      <c r="U1" s="2"/>
      <c r="V1" s="2"/>
      <c r="W1" s="2"/>
      <c r="X1" s="2"/>
      <c r="Y1" s="2"/>
      <c r="Z1" s="2"/>
      <c r="AA1" s="2"/>
      <c r="AB1" s="2"/>
      <c r="AC1" s="2"/>
      <c r="AD1" s="2"/>
      <c r="AE1" s="2"/>
      <c r="AF1" s="2"/>
      <c r="AG1" s="2"/>
      <c r="AH1" s="2"/>
    </row>
    <row r="2" spans="1:34" ht="82.35" customHeight="1">
      <c r="A2" s="31"/>
      <c r="B2" s="133"/>
      <c r="C2" s="32"/>
      <c r="D2" s="315" t="str">
        <f ca="1">OFFSET(L!$C$1,MATCH("Declaration"&amp;ADDRESS(ROW(),COLUMN(),4),L!$A:$A,0)-1,SL,,)</f>
        <v>Conflict Minerals Reporting Template (CMRT)</v>
      </c>
      <c r="E2" s="316"/>
      <c r="F2" s="316"/>
      <c r="G2" s="316"/>
      <c r="H2" s="316"/>
      <c r="I2" s="316"/>
      <c r="J2" s="31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28"/>
      <c r="G3" s="328"/>
      <c r="H3" s="328"/>
      <c r="I3" s="145"/>
      <c r="J3" s="135" t="s">
        <v>15370</v>
      </c>
      <c r="K3" s="33"/>
      <c r="L3" s="97"/>
      <c r="P3" s="42">
        <f>MATCH($D$3,LN,0)</f>
        <v>1</v>
      </c>
    </row>
    <row r="4" spans="1:34" ht="15.75">
      <c r="A4" s="31"/>
      <c r="B4" s="324" t="str">
        <f ca="1">OFFSET(L!$C$1,MATCH("Declaration"&amp;ADDRESS(ROW(),COLUMN(),4),L!$A:$A,0)-1,SL,,)</f>
        <v>The purpose of this document is to collect sourcing information on tin, tantalum, tungsten and gold used in products</v>
      </c>
      <c r="C4" s="324"/>
      <c r="D4" s="324"/>
      <c r="E4" s="324"/>
      <c r="F4" s="324"/>
      <c r="G4" s="324"/>
      <c r="H4" s="324"/>
      <c r="I4" s="329" t="str">
        <f ca="1">OFFSET(L!$C$1,MATCH("Declaration"&amp;ADDRESS(ROW(),COLUMN(),4),L!$A:$A,0)-1,SL,,)</f>
        <v>Link to Terms &amp; Conditions</v>
      </c>
      <c r="J4" s="32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24" t="str">
        <f ca="1">OFFSET(L!$C$1,MATCH("Declaration"&amp;ADDRESS(ROW(),COLUMN(),4),L!$A:$A,0)-1,SL,,)</f>
        <v>Mandatory fields are noted with an asterisk (*).  Consult the instructions tab for guidance on how to answer each question.</v>
      </c>
      <c r="C6" s="324"/>
      <c r="D6" s="324"/>
      <c r="E6" s="324"/>
      <c r="F6" s="324"/>
      <c r="G6" s="324"/>
      <c r="H6" s="324"/>
      <c r="I6" s="324"/>
      <c r="J6" s="32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33" t="str">
        <f ca="1">OFFSET(L!$C$1,MATCH("Declaration"&amp;ADDRESS(ROW(),COLUMN(),4),L!$A:$A,0)-1,SL,,)</f>
        <v>Company Information</v>
      </c>
      <c r="C7" s="333"/>
      <c r="D7" s="333"/>
      <c r="E7" s="333"/>
      <c r="F7" s="333"/>
      <c r="G7" s="333"/>
      <c r="H7" s="333"/>
      <c r="I7" s="333"/>
      <c r="J7" s="33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18" t="s">
        <v>15879</v>
      </c>
      <c r="E8" s="319"/>
      <c r="F8" s="319"/>
      <c r="G8" s="319"/>
      <c r="H8" s="319"/>
      <c r="I8" s="319"/>
      <c r="J8" s="32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30" t="s">
        <v>479</v>
      </c>
      <c r="E9" s="331"/>
      <c r="F9" s="331"/>
      <c r="G9" s="33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34" t="str">
        <f ca="1">OFFSET(L!$C$1,MATCH("Declaration"&amp;ADDRESS(ROW(),COLUMN(),4)&amp;LEFT($D$9,1),L!$A:$A,0)-1,SL,,)</f>
        <v>Description of Scope:</v>
      </c>
      <c r="C10" s="119"/>
      <c r="D10" s="325"/>
      <c r="E10" s="326"/>
      <c r="F10" s="326"/>
      <c r="G10" s="326"/>
      <c r="H10" s="326"/>
      <c r="I10" s="326"/>
      <c r="J10" s="327"/>
      <c r="K10" s="33"/>
      <c r="L10" s="112"/>
      <c r="Q10" s="2"/>
      <c r="R10" s="2"/>
      <c r="S10" s="2"/>
      <c r="T10" s="2"/>
      <c r="U10" s="2"/>
      <c r="V10" s="2"/>
      <c r="W10" s="2"/>
      <c r="X10" s="2"/>
      <c r="Y10" s="2"/>
      <c r="Z10" s="2"/>
      <c r="AA10" s="2"/>
      <c r="AB10" s="2"/>
      <c r="AC10" s="2"/>
      <c r="AD10" s="2"/>
      <c r="AE10" s="2"/>
      <c r="AF10" s="2"/>
      <c r="AG10" s="2"/>
      <c r="AH10" s="2"/>
    </row>
    <row r="11" spans="1:34" ht="15.75">
      <c r="A11" s="35"/>
      <c r="B11" s="335"/>
      <c r="C11" s="119"/>
      <c r="D11" s="341" t="str">
        <f ca="1">IF(D9=Q9,OFFSET(L!$C$1,MATCH("Declaration"&amp;ADDRESS(ROW(),COLUMN(),4),L!$A:$A,0)-1,SL,,),"")</f>
        <v/>
      </c>
      <c r="E11" s="342"/>
      <c r="F11" s="342"/>
      <c r="G11" s="342"/>
      <c r="H11" s="342"/>
      <c r="I11" s="342"/>
      <c r="J11" s="34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21"/>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21" t="s">
        <v>15880</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21" t="s">
        <v>15881</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36" t="s">
        <v>15882</v>
      </c>
      <c r="E16" s="337"/>
      <c r="F16" s="337"/>
      <c r="G16" s="337"/>
      <c r="H16" s="337"/>
      <c r="I16" s="337"/>
      <c r="J16" s="33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21" t="s">
        <v>15883</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54" t="s">
        <v>15884</v>
      </c>
      <c r="E18" s="355"/>
      <c r="F18" s="355"/>
      <c r="G18" s="355"/>
      <c r="H18" s="355"/>
      <c r="I18" s="355"/>
      <c r="J18" s="35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21" t="s">
        <v>15885</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36" t="s">
        <v>15886</v>
      </c>
      <c r="E20" s="337"/>
      <c r="F20" s="337"/>
      <c r="G20" s="337"/>
      <c r="H20" s="337"/>
      <c r="I20" s="337"/>
      <c r="J20" s="33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294" t="s">
        <v>15883</v>
      </c>
      <c r="E21" s="295"/>
      <c r="F21" s="295"/>
      <c r="G21" s="295"/>
      <c r="H21" s="295"/>
      <c r="I21" s="295"/>
      <c r="J21" s="29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299">
        <v>46140</v>
      </c>
      <c r="E22" s="30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46"/>
      <c r="E23" s="34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01" t="str">
        <f ca="1">OFFSET(L!$C$1,MATCH("Declaration"&amp;ADDRESS(ROW(),COLUMN(),4),L!$A:$A,0)-1,SL,,)</f>
        <v>Answer the following questions 1 - 8 based on the declaration scope indicated above</v>
      </c>
      <c r="C24" s="301"/>
      <c r="D24" s="301"/>
      <c r="E24" s="301"/>
      <c r="F24" s="301"/>
      <c r="G24" s="301"/>
      <c r="H24" s="301"/>
      <c r="I24" s="301"/>
      <c r="J24" s="30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8" t="str">
        <f ca="1">OFFSET(L!$C$1,MATCH("Declaration"&amp;ADDRESS(ROW(),COLUMN(),4),L!$A:$A,0)-1,SL,,)</f>
        <v>Answer</v>
      </c>
      <c r="E25" s="30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297" t="s">
        <v>474</v>
      </c>
      <c r="E26" s="298"/>
      <c r="F26" s="11"/>
      <c r="G26" s="305"/>
      <c r="H26" s="306"/>
      <c r="I26" s="306"/>
      <c r="J26" s="307"/>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 xml:space="preserve">Tin  </v>
      </c>
      <c r="C27" s="32"/>
      <c r="D27" s="297" t="s">
        <v>474</v>
      </c>
      <c r="E27" s="298"/>
      <c r="F27" s="11"/>
      <c r="G27" s="305"/>
      <c r="H27" s="306"/>
      <c r="I27" s="306"/>
      <c r="J27" s="307"/>
      <c r="K27" s="33"/>
      <c r="L27" s="113"/>
      <c r="P27" s="42" t="str">
        <f>IF(D$27="No","","(*)")</f>
        <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297" t="s">
        <v>473</v>
      </c>
      <c r="E28" s="298"/>
      <c r="F28" s="11"/>
      <c r="G28" s="305"/>
      <c r="H28" s="306"/>
      <c r="I28" s="306"/>
      <c r="J28" s="307"/>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297" t="s">
        <v>474</v>
      </c>
      <c r="E29" s="298"/>
      <c r="F29" s="11"/>
      <c r="G29" s="305"/>
      <c r="H29" s="306"/>
      <c r="I29" s="306"/>
      <c r="J29" s="307"/>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2" t="str">
        <f ca="1">D25</f>
        <v>Answer</v>
      </c>
      <c r="E31" s="302"/>
      <c r="F31" s="17"/>
      <c r="G31" s="41" t="str">
        <f ca="1">G25</f>
        <v>Comments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03"/>
      <c r="E32" s="304"/>
      <c r="F32" s="44"/>
      <c r="G32" s="305"/>
      <c r="H32" s="306"/>
      <c r="I32" s="306"/>
      <c r="J32" s="30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 xml:space="preserve">Tin  </v>
      </c>
      <c r="C33" s="9"/>
      <c r="D33" s="297"/>
      <c r="E33" s="298"/>
      <c r="F33" s="44"/>
      <c r="G33" s="305"/>
      <c r="H33" s="306"/>
      <c r="I33" s="306"/>
      <c r="J33" s="30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297" t="s">
        <v>473</v>
      </c>
      <c r="E34" s="298"/>
      <c r="F34" s="44"/>
      <c r="G34" s="305"/>
      <c r="H34" s="306"/>
      <c r="I34" s="306"/>
      <c r="J34" s="30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297"/>
      <c r="E35" s="298"/>
      <c r="F35" s="44"/>
      <c r="G35" s="305"/>
      <c r="H35" s="306"/>
      <c r="I35" s="306"/>
      <c r="J35" s="30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2" t="str">
        <f ca="1">D25</f>
        <v>Answer</v>
      </c>
      <c r="E37" s="302"/>
      <c r="F37" s="17"/>
      <c r="G37" s="41" t="str">
        <f ca="1">G25</f>
        <v>Comments</v>
      </c>
      <c r="H37" s="345"/>
      <c r="I37" s="345"/>
      <c r="J37" s="345"/>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297"/>
      <c r="E38" s="298"/>
      <c r="F38" s="44"/>
      <c r="G38" s="305"/>
      <c r="H38" s="306"/>
      <c r="I38" s="306"/>
      <c r="J38" s="307"/>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 xml:space="preserve">Tin  </v>
      </c>
      <c r="C39" s="9"/>
      <c r="D39" s="297"/>
      <c r="E39" s="298"/>
      <c r="F39" s="44"/>
      <c r="G39" s="305"/>
      <c r="H39" s="306"/>
      <c r="I39" s="306"/>
      <c r="J39" s="307"/>
      <c r="K39" s="33"/>
      <c r="L39" s="113"/>
      <c r="P39" s="42" t="str">
        <f>IF((OR(D$27="No",D$33="No")),"","(*)")</f>
        <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297" t="s">
        <v>474</v>
      </c>
      <c r="E40" s="298"/>
      <c r="F40" s="44"/>
      <c r="G40" s="305"/>
      <c r="H40" s="306"/>
      <c r="I40" s="306"/>
      <c r="J40" s="307"/>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297"/>
      <c r="E41" s="298"/>
      <c r="F41" s="44"/>
      <c r="G41" s="305"/>
      <c r="H41" s="306"/>
      <c r="I41" s="306"/>
      <c r="J41" s="307"/>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2" t="str">
        <f ca="1">D25</f>
        <v>Answer</v>
      </c>
      <c r="E43" s="302"/>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297"/>
      <c r="E44" s="298"/>
      <c r="F44" s="44"/>
      <c r="G44" s="305"/>
      <c r="H44" s="306"/>
      <c r="I44" s="306"/>
      <c r="J44" s="30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 xml:space="preserve">Tin  </v>
      </c>
      <c r="C45" s="9"/>
      <c r="D45" s="297"/>
      <c r="E45" s="298"/>
      <c r="F45" s="44"/>
      <c r="G45" s="305"/>
      <c r="H45" s="306"/>
      <c r="I45" s="306"/>
      <c r="J45" s="307"/>
      <c r="K45" s="33"/>
      <c r="L45" s="108"/>
      <c r="P45" s="42" t="str">
        <f>IF((OR(D$27="No",D$33="No")),"","(*)")</f>
        <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297" t="s">
        <v>473</v>
      </c>
      <c r="E46" s="298"/>
      <c r="F46" s="44"/>
      <c r="G46" s="305" t="s">
        <v>15887</v>
      </c>
      <c r="H46" s="306"/>
      <c r="I46" s="306"/>
      <c r="J46" s="307"/>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297"/>
      <c r="E47" s="298"/>
      <c r="F47" s="44"/>
      <c r="G47" s="305"/>
      <c r="H47" s="306"/>
      <c r="I47" s="306"/>
      <c r="J47" s="30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2" t="str">
        <f ca="1">D25</f>
        <v>Answer</v>
      </c>
      <c r="E49" s="30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297"/>
      <c r="E50" s="298"/>
      <c r="F50" s="44"/>
      <c r="G50" s="305"/>
      <c r="H50" s="306"/>
      <c r="I50" s="306"/>
      <c r="J50" s="30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 xml:space="preserve">Tin  </v>
      </c>
      <c r="C51" s="9"/>
      <c r="D51" s="297"/>
      <c r="E51" s="298"/>
      <c r="F51" s="44"/>
      <c r="G51" s="305"/>
      <c r="H51" s="306"/>
      <c r="I51" s="306"/>
      <c r="J51" s="30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297" t="s">
        <v>474</v>
      </c>
      <c r="E52" s="298"/>
      <c r="F52" s="44"/>
      <c r="G52" s="305" t="s">
        <v>15888</v>
      </c>
      <c r="H52" s="306"/>
      <c r="I52" s="306"/>
      <c r="J52" s="30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297"/>
      <c r="E53" s="298"/>
      <c r="F53" s="44"/>
      <c r="G53" s="305"/>
      <c r="H53" s="306"/>
      <c r="I53" s="306"/>
      <c r="J53" s="30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2" t="str">
        <f ca="1">D25</f>
        <v>Answer</v>
      </c>
      <c r="E55" s="30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39"/>
      <c r="E56" s="340"/>
      <c r="F56" s="44"/>
      <c r="G56" s="305"/>
      <c r="H56" s="306"/>
      <c r="I56" s="306"/>
      <c r="J56" s="30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 xml:space="preserve">Tin  </v>
      </c>
      <c r="C57" s="32"/>
      <c r="D57" s="339"/>
      <c r="E57" s="340"/>
      <c r="F57" s="44"/>
      <c r="G57" s="305"/>
      <c r="H57" s="306"/>
      <c r="I57" s="306"/>
      <c r="J57" s="30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39" t="s">
        <v>15889</v>
      </c>
      <c r="E58" s="340"/>
      <c r="F58" s="44"/>
      <c r="G58" s="305"/>
      <c r="H58" s="306"/>
      <c r="I58" s="306"/>
      <c r="J58" s="30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39"/>
      <c r="E59" s="340"/>
      <c r="F59" s="44"/>
      <c r="G59" s="305"/>
      <c r="H59" s="306"/>
      <c r="I59" s="306"/>
      <c r="J59" s="30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2" t="str">
        <f ca="1">D25</f>
        <v>Answer</v>
      </c>
      <c r="E61" s="302"/>
      <c r="F61" s="17"/>
      <c r="G61" s="41" t="str">
        <f ca="1">G25</f>
        <v>Comments</v>
      </c>
      <c r="H61" s="344"/>
      <c r="I61" s="344"/>
      <c r="J61" s="34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03"/>
      <c r="E62" s="304"/>
      <c r="F62" s="44"/>
      <c r="G62" s="305"/>
      <c r="H62" s="306"/>
      <c r="I62" s="306"/>
      <c r="J62" s="30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 xml:space="preserve">Tin  </v>
      </c>
      <c r="C63" s="9"/>
      <c r="D63" s="297"/>
      <c r="E63" s="298"/>
      <c r="F63" s="44"/>
      <c r="G63" s="305"/>
      <c r="H63" s="306"/>
      <c r="I63" s="306"/>
      <c r="J63" s="30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297" t="s">
        <v>473</v>
      </c>
      <c r="E64" s="298"/>
      <c r="F64" s="44"/>
      <c r="G64" s="305"/>
      <c r="H64" s="306"/>
      <c r="I64" s="306"/>
      <c r="J64" s="30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297"/>
      <c r="E65" s="298"/>
      <c r="F65" s="44"/>
      <c r="G65" s="305"/>
      <c r="H65" s="306"/>
      <c r="I65" s="306"/>
      <c r="J65" s="30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2" t="str">
        <f ca="1">D25</f>
        <v>Answer</v>
      </c>
      <c r="E67" s="302"/>
      <c r="F67" s="17"/>
      <c r="G67" s="41" t="str">
        <f ca="1">G25</f>
        <v>Comments</v>
      </c>
      <c r="H67" s="344" t="str">
        <f>IF(Q75="(*)","Click here to enter smelter names","")</f>
        <v/>
      </c>
      <c r="I67" s="344"/>
      <c r="J67" s="34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297"/>
      <c r="E68" s="298"/>
      <c r="F68" s="45"/>
      <c r="G68" s="305"/>
      <c r="H68" s="306"/>
      <c r="I68" s="306"/>
      <c r="J68" s="30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 xml:space="preserve">Tin  </v>
      </c>
      <c r="C69" s="32"/>
      <c r="D69" s="297"/>
      <c r="E69" s="298"/>
      <c r="F69" s="45"/>
      <c r="G69" s="305"/>
      <c r="H69" s="306"/>
      <c r="I69" s="306"/>
      <c r="J69" s="30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297" t="s">
        <v>473</v>
      </c>
      <c r="E70" s="298"/>
      <c r="F70" s="45"/>
      <c r="G70" s="305"/>
      <c r="H70" s="306"/>
      <c r="I70" s="306"/>
      <c r="J70" s="30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297"/>
      <c r="E71" s="298"/>
      <c r="F71" s="47"/>
      <c r="G71" s="305"/>
      <c r="H71" s="306"/>
      <c r="I71" s="306"/>
      <c r="J71" s="30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57" t="str">
        <f ca="1">OFFSET(L!$C$1,MATCH("Declaration"&amp;ADDRESS(ROW(),COLUMN(),4),L!$A:$A,0)-1,SL,,)</f>
        <v>Answer the Following Questions at a Company Level</v>
      </c>
      <c r="C73" s="357"/>
      <c r="D73" s="357"/>
      <c r="E73" s="357"/>
      <c r="F73" s="357"/>
      <c r="G73" s="357"/>
      <c r="H73" s="357"/>
      <c r="I73" s="357"/>
      <c r="J73" s="35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08" t="str">
        <f ca="1">D25</f>
        <v>Answer</v>
      </c>
      <c r="E74" s="308"/>
      <c r="F74" s="50"/>
      <c r="G74" s="308" t="str">
        <f ca="1">G25</f>
        <v>Comments</v>
      </c>
      <c r="H74" s="308" t="e">
        <f>HLOOKUP(SL,LT,$O74,0)</f>
        <v>#NAME?</v>
      </c>
      <c r="I74" s="30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305"/>
      <c r="H75" s="306"/>
      <c r="I75" s="306"/>
      <c r="J75" s="30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52"/>
      <c r="H76" s="352"/>
      <c r="I76" s="352"/>
      <c r="J76" s="35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474</v>
      </c>
      <c r="E77" s="298"/>
      <c r="F77" s="54"/>
      <c r="G77" s="309"/>
      <c r="H77" s="310"/>
      <c r="I77" s="310"/>
      <c r="J77" s="31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474</v>
      </c>
      <c r="E79" s="298"/>
      <c r="F79" s="54"/>
      <c r="G79" s="305" t="s">
        <v>15890</v>
      </c>
      <c r="H79" s="306"/>
      <c r="I79" s="306"/>
      <c r="J79" s="30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305"/>
      <c r="H81" s="306"/>
      <c r="I81" s="306"/>
      <c r="J81" s="30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305"/>
      <c r="H83" s="306"/>
      <c r="I83" s="306"/>
      <c r="J83" s="30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50" t="s">
        <v>473</v>
      </c>
      <c r="E85" s="351"/>
      <c r="F85" s="54"/>
      <c r="G85" s="305"/>
      <c r="H85" s="306"/>
      <c r="I85" s="306"/>
      <c r="J85" s="30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52"/>
      <c r="H86" s="352"/>
      <c r="I86" s="352"/>
      <c r="J86" s="35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473</v>
      </c>
      <c r="E87" s="298"/>
      <c r="F87" s="54"/>
      <c r="G87" s="305"/>
      <c r="H87" s="306"/>
      <c r="I87" s="306"/>
      <c r="J87" s="30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53"/>
      <c r="H88" s="353"/>
      <c r="I88" s="353"/>
      <c r="J88" s="35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474</v>
      </c>
      <c r="E89" s="298"/>
      <c r="F89" s="54"/>
      <c r="G89" s="305"/>
      <c r="H89" s="306"/>
      <c r="I89" s="306"/>
      <c r="J89" s="30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49" t="str">
        <f>IF(OR($D$8="",$I$3=""),"","Click here to check required fields completion")</f>
        <v/>
      </c>
      <c r="C90" s="349"/>
      <c r="D90" s="349"/>
      <c r="E90" s="349"/>
      <c r="F90" s="349"/>
      <c r="G90" s="349"/>
      <c r="H90" s="349"/>
      <c r="I90" s="349"/>
      <c r="J90" s="349"/>
      <c r="K90" s="33"/>
      <c r="L90" s="97"/>
      <c r="P90" s="2"/>
      <c r="Q90" s="2"/>
      <c r="R90" s="2"/>
      <c r="S90" s="2"/>
      <c r="T90" s="2"/>
      <c r="U90" s="2"/>
      <c r="V90" s="2"/>
      <c r="W90" s="2"/>
      <c r="X90" s="2"/>
      <c r="Y90" s="2"/>
      <c r="Z90" s="2"/>
      <c r="AA90" s="2"/>
      <c r="AB90" s="2"/>
      <c r="AC90" s="2"/>
      <c r="AD90" s="2"/>
      <c r="AE90" s="2"/>
      <c r="AF90" s="2"/>
      <c r="AG90" s="2"/>
      <c r="AH90" s="2"/>
    </row>
    <row r="91" spans="1:34" ht="15.75" thickBot="1">
      <c r="A91" s="347" t="str">
        <f ca="1">OFFSET(L!$C$1,MATCH("General"&amp;"Cpy",L!$A:$A,0)-1,SL,,)</f>
        <v>© 2026 Responsible Minerals Initiative. All rights reserved.</v>
      </c>
      <c r="B91" s="348"/>
      <c r="C91" s="348"/>
      <c r="D91" s="348"/>
      <c r="E91" s="348"/>
      <c r="F91" s="348"/>
      <c r="G91" s="348"/>
      <c r="H91" s="348"/>
      <c r="I91" s="348"/>
      <c r="J91" s="34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
      </c>
    </row>
    <row r="99" spans="2:7" ht="15.75" hidden="1">
      <c r="B99" s="172">
        <v>1</v>
      </c>
      <c r="D99" s="264" t="str">
        <f>IF(AND(OR($D$27="Yes",$D$27=""),OR($D$33="Yes",$D$33="")),"Yes","")</f>
        <v/>
      </c>
      <c r="E99" s="264" t="str">
        <f>IF(AND(OR($D$26="Yes",$D$26=""),OR($D$32="Yes",$D$32="")),"Greater than 50%","")</f>
        <v/>
      </c>
      <c r="G99" s="264" t="str">
        <f>IF(OR($D$27="Yes",$D$27=""),"No","")</f>
        <v/>
      </c>
    </row>
    <row r="100" spans="2:7" ht="15.75" hidden="1">
      <c r="B100" s="219" t="s">
        <v>2370</v>
      </c>
      <c r="D100" s="264" t="str">
        <f>IF(AND(OR($D$27="Yes",$D$27=""),OR($D$33="Yes",$D$33="")),"No","")</f>
        <v/>
      </c>
      <c r="E100" s="264" t="str">
        <f>IF(AND(OR($D$26="Yes",$D$26=""),OR($D$32="Yes",$D$32="")),"50% or less","")</f>
        <v/>
      </c>
      <c r="G100" s="264" t="str">
        <f>IF(OR($D$28="Yes",$D$28=""),"Yes","")</f>
        <v>Yes</v>
      </c>
    </row>
    <row r="101" spans="2:7" ht="15.75" hidden="1">
      <c r="B101" s="219" t="s">
        <v>2371</v>
      </c>
      <c r="D101" s="264" t="str">
        <f>IF(AND(OR($D$27="Yes",$D$27=""),OR($D$33="Yes",$D$33="")),"Unknown","")</f>
        <v/>
      </c>
      <c r="E101" s="264" t="str">
        <f>IF(AND(OR($D$26="Yes",$D$26=""),OR($D$32="Yes",$D$32="")),"None","")</f>
        <v/>
      </c>
      <c r="G101" s="264" t="str">
        <f>IF(OR($D$28="Yes",$D$28=""),"No","")</f>
        <v>No</v>
      </c>
    </row>
    <row r="102" spans="2:7" ht="15.75" hidden="1">
      <c r="B102" s="219" t="s">
        <v>2372</v>
      </c>
      <c r="D102" s="264" t="str">
        <f>IF(AND(OR($D$28="Yes",$D$28=""),OR($D$34="Yes",$D$34="")),"Yes","")</f>
        <v>Yes</v>
      </c>
      <c r="E102" s="264" t="str">
        <f>IF(AND(OR($D$27="Yes",$D$27=""),OR($D$33="Yes",$D$33="")),"100%","")</f>
        <v/>
      </c>
      <c r="G102" s="264" t="str">
        <f>IF(OR($D$29="Yes",$D$29=""),"Yes","")</f>
        <v/>
      </c>
    </row>
    <row r="103" spans="2:7" ht="15.75" hidden="1">
      <c r="B103" s="219" t="s">
        <v>2373</v>
      </c>
      <c r="D103" s="264" t="str">
        <f>IF(AND(OR($D$28="Yes",$D$28=""),OR($D$34="Yes",$D$34="")),"No","")</f>
        <v>No</v>
      </c>
      <c r="E103" s="264" t="str">
        <f>IF(AND(OR($D$27="Yes",$D$27=""),OR($D$33="Yes",$D$33="")),"Greater than 90%","")</f>
        <v/>
      </c>
      <c r="G103" s="264" t="str">
        <f>IF(OR($D$29="Yes",$D$29=""),"No","")</f>
        <v/>
      </c>
    </row>
    <row r="104" spans="2:7" ht="15.75" hidden="1">
      <c r="B104" s="219" t="s">
        <v>476</v>
      </c>
      <c r="D104" s="264" t="str">
        <f>IF(AND(OR($D$28="Yes",$D$28=""),OR($D$34="Yes",$D$34="")),"Unknown","")</f>
        <v>Unknown</v>
      </c>
      <c r="E104" s="264" t="str">
        <f>IF(AND(OR($D$27="Yes",$D$27=""),OR($D$33="Yes",$D$33="")),"Greater than 75%","")</f>
        <v/>
      </c>
    </row>
    <row r="105" spans="2:7" ht="15.75" hidden="1">
      <c r="B105" s="219" t="s">
        <v>14427</v>
      </c>
      <c r="D105" s="264" t="str">
        <f>IF(AND(OR($D$29="Yes",$D$29=""),OR($D$35="Yes",$D$35="")),"Yes","")</f>
        <v/>
      </c>
      <c r="E105" s="264" t="str">
        <f>IF(AND(OR($D$27="Yes",$D$27=""),OR($D$33="Yes",$D$33="")),"Greater than 50%","")</f>
        <v/>
      </c>
    </row>
    <row r="106" spans="2:7" ht="15.75" hidden="1">
      <c r="B106" s="219" t="s">
        <v>11949</v>
      </c>
      <c r="D106" s="264" t="str">
        <f>IF(AND(OR($D$29="Yes",$D$29=""),OR($D$35="Yes",$D$35="")),"No","")</f>
        <v/>
      </c>
      <c r="E106" s="264" t="str">
        <f>IF(AND(OR($D$27="Yes",$D$27=""),OR($D$33="Yes",$D$33="")),"50% or less","")</f>
        <v/>
      </c>
    </row>
    <row r="107" spans="2:7" ht="15.75" hidden="1">
      <c r="B107" s="219" t="s">
        <v>474</v>
      </c>
      <c r="D107" s="264" t="str">
        <f>IF(AND(OR($D$29="Yes",$D$29=""),OR($D$35="Yes",$D$35="")),"Unknown","")</f>
        <v/>
      </c>
      <c r="E107" s="264" t="str">
        <f>IF(AND(OR($D$27="Yes",$D$27=""),OR($D$33="Yes",$D$33="")),"None","")</f>
        <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K1" zoomScaleNormal="100" zoomScalePageLayoutView="55" workbookViewId="0">
      <selection activeCell="P5" sqref="P5"/>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15891</v>
      </c>
      <c r="B5" s="166" t="str">
        <f ca="1">IF(LEN(A5)=0,"",INDEX('Smelter Look-up'!$A:$A,MATCH($A5,'Smelter Look-up'!$E:$E,0)))</f>
        <v>Gold</v>
      </c>
      <c r="C5" s="170" t="str">
        <f ca="1">IF(LEN(A5)=0,"",INDEX('Smelter Look-up'!$C:$C,MATCH($A5,'Smelter Look-up'!$E:$E,0)))</f>
        <v>Metalor USA Refining Corporation</v>
      </c>
      <c r="D5" s="213"/>
      <c r="E5" s="166" t="str">
        <f ca="1">IF(ISERROR($V5),"",OFFSET('Smelter Look-up'!$D$4,$V5-4,0)&amp;"")</f>
        <v>UNITED STATES OF AMERICA</v>
      </c>
      <c r="F5" s="166" t="str">
        <f ca="1">IF(ISERROR($V5),"",OFFSET('Smelter Look-up'!$E$4,$V5-4,0))</f>
        <v>CID001157</v>
      </c>
      <c r="G5" s="166" t="str">
        <f ca="1">IF(C5=$X$4,IF(ISERROR($V5),"Enter smelter details","RMI"),IF(ISERROR($V5),"",OFFSET('Smelter Look-up'!$F$4,$V5-4,0)))</f>
        <v>RMI</v>
      </c>
      <c r="H5" s="167" t="s">
        <v>15892</v>
      </c>
      <c r="I5" s="168" t="str">
        <f ca="1">IF(ISERROR($V5),"",OFFSET('Smelter Look-up'!$H$4,$V5-4,0))</f>
        <v>North Attleboro</v>
      </c>
      <c r="J5" s="168" t="str">
        <f ca="1">IF(ISERROR($V5),"",OFFSET('Smelter Look-up'!$I$4,$V5-4,0))</f>
        <v>Massachusetts</v>
      </c>
      <c r="K5" s="207" t="s">
        <v>15893</v>
      </c>
      <c r="L5" s="207" t="s">
        <v>15894</v>
      </c>
      <c r="M5" s="207"/>
      <c r="N5" s="207" t="s">
        <v>15895</v>
      </c>
      <c r="O5" s="207" t="s">
        <v>15895</v>
      </c>
      <c r="P5" s="169" t="s">
        <v>474</v>
      </c>
      <c r="Q5" s="208"/>
      <c r="R5" s="166" t="str">
        <f ca="1">IF(ISERROR($V5),"",OFFSET('Smelter Look-up'!$C$4,$V5-4,0)&amp;"")</f>
        <v>Metalor USA Refining Corporation</v>
      </c>
      <c r="S5" s="165" t="str">
        <f ca="1">IF(B5="","",IF(ISERROR(MATCH($E5,CL,0)),"Unknown",INDIRECT("'C'!$A$"&amp;MATCH($E5,CL,0)+1)))</f>
        <v>US</v>
      </c>
      <c r="T5" s="165" t="str">
        <f ca="1">IF(B5="","",IF(ISERROR(MATCH($J5,SorP!$B$1:$B$6261,0)),"",INDIRECT("'SorP'!$A$"&amp;MATCH($S5&amp;$J5,SorP!C:C,0))))</f>
        <v>US-MA</v>
      </c>
      <c r="U5" s="185"/>
      <c r="V5" s="209">
        <f ca="1">IF(C5="",NA(),IF(OR(C5="Smelter not listed",C5="Smelter not yet identified"),MATCH($B5&amp;$D5,'Smelter Look-up'!$J:$J,0),MATCH($B5&amp;$C5,'Smelter Look-up'!$J:$J,0)))</f>
        <v>197</v>
      </c>
      <c r="X5" s="210">
        <f t="shared" ref="X5" ca="1" si="0">IF(AND(C5="Smelter not listed",OR(LEN(D5)=0,LEN(E5)=0)),1,0)</f>
        <v>0</v>
      </c>
      <c r="AB5" s="211" t="str">
        <f t="shared" ref="AB5" ca="1" si="1">B5&amp;C5</f>
        <v>GoldMetalor USA Refining Corporation</v>
      </c>
    </row>
    <row r="6" spans="1:34" s="210" customFormat="1" ht="20.100000000000001"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127B39C-468B-47F8-877F-BDA79FD80FF2}"/>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Precious Metal Sales,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Krista Upson</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krista@pmsalesinc.com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8602748813</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Anthony Luccaro</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here4u@pmsalesinc.com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46140</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 xml:space="preserve">Tin  </v>
      </c>
      <c r="B15" s="86" t="str">
        <f>Declaration!D27</f>
        <v>No</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 xml:space="preserve">Tin  </v>
      </c>
      <c r="B20" s="86">
        <f>IF($B$15="Yes",Declaration!D33,0)</f>
        <v>0</v>
      </c>
      <c r="C20" s="86" t="str">
        <f ca="1">IF(H20=1,J20,I20)</f>
        <v>Complete</v>
      </c>
      <c r="D20" s="94" t="str">
        <f>IF(H20=1,"Click here to answer question 2 for Tin","")</f>
        <v/>
      </c>
      <c r="E20" s="19" t="s">
        <v>770</v>
      </c>
      <c r="F20" s="91">
        <f>IF(B$15="No",0,1)</f>
        <v>0</v>
      </c>
      <c r="G20" s="67">
        <f>IF(B20=0,1,0)</f>
        <v>1</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 xml:space="preserve">Tin  </v>
      </c>
      <c r="B25" s="86">
        <f>IF(AND($B$15="Yes",$B$20="Yes"),Declaration!D39,0)</f>
        <v>0</v>
      </c>
      <c r="C25" s="86" t="str">
        <f ca="1">IF(H25=1,J25,I25)</f>
        <v>Complete</v>
      </c>
      <c r="D25" s="94" t="str">
        <f>IF(H25=1,"Click here to answer question 3 for Tin","")</f>
        <v/>
      </c>
      <c r="E25" s="19" t="s">
        <v>770</v>
      </c>
      <c r="F25" s="91">
        <f>IF(OR(B15="No",B20="No"),0,1)</f>
        <v>0</v>
      </c>
      <c r="G25" s="67">
        <f>IF(B25=0,1,0)</f>
        <v>1</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 xml:space="preserve">Tin  </v>
      </c>
      <c r="B30" s="86">
        <f>IF(AND($B$15="Yes",$B$20="Yes"),Declaration!D45,0)</f>
        <v>0</v>
      </c>
      <c r="C30" s="86" t="str">
        <f ca="1">IF(H30=1,J30,I30)</f>
        <v>Complete</v>
      </c>
      <c r="D30" s="243" t="str">
        <f>IF(H30=1,"Click here to answer question 4 for Tin","")</f>
        <v/>
      </c>
      <c r="E30" s="19"/>
      <c r="F30" s="91">
        <f>F25</f>
        <v>0</v>
      </c>
      <c r="G30" s="67">
        <f>IF(B30=0,1,0)</f>
        <v>1</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 xml:space="preserve">Tin  </v>
      </c>
      <c r="B35" s="86">
        <f>IF(AND($B$15="Yes",$B$20="Yes"),Declaration!D51,0)</f>
        <v>0</v>
      </c>
      <c r="C35" s="86" t="str">
        <f ca="1">IF(H35=1,J35,I35)</f>
        <v>Complete</v>
      </c>
      <c r="D35" s="243" t="str">
        <f>IF(H35=1,"Click here to answer question 5 for Tin","")</f>
        <v/>
      </c>
      <c r="E35" s="19" t="s">
        <v>1261</v>
      </c>
      <c r="F35" s="91">
        <f>F25</f>
        <v>0</v>
      </c>
      <c r="G35" s="67">
        <f>IF(B35=0,1,0)</f>
        <v>1</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 xml:space="preserve">Tin  </v>
      </c>
      <c r="B40" s="251">
        <f>IF(AND($B$15="Yes",$B$20="Yes"),Declaration!D57,0)</f>
        <v>0</v>
      </c>
      <c r="C40" s="86" t="str">
        <f ca="1">IF(H40=1,J40,I40)</f>
        <v>Complete</v>
      </c>
      <c r="D40" s="244" t="str">
        <f>IF(H40=1,"Click here to answer question 6 for Tin","")</f>
        <v/>
      </c>
      <c r="E40" s="19" t="s">
        <v>769</v>
      </c>
      <c r="F40" s="91">
        <f>F25</f>
        <v>0</v>
      </c>
      <c r="G40" s="67">
        <f>IF(B40=0,1,0)</f>
        <v>1</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 xml:space="preserve">Tin  </v>
      </c>
      <c r="B45" s="86">
        <f>IF(AND($B$15="Yes",$B$20="Yes"),Declaration!D63,0)</f>
        <v>0</v>
      </c>
      <c r="C45" s="86" t="str">
        <f ca="1">IF(H45=1,J45,I45)</f>
        <v>Complete</v>
      </c>
      <c r="D45" s="243" t="str">
        <f>IF(H45=1,"Click here to answer question 7 for Tin","")</f>
        <v/>
      </c>
      <c r="E45" s="19" t="s">
        <v>1257</v>
      </c>
      <c r="F45" s="91">
        <f>F25</f>
        <v>0</v>
      </c>
      <c r="G45" s="67">
        <f>IF(B45=0,1,0)</f>
        <v>1</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 xml:space="preserve">Tin  </v>
      </c>
      <c r="B50" s="86">
        <f>IF(AND($B$15="Yes",$B$20="Yes"),Declaration!D69,0)</f>
        <v>0</v>
      </c>
      <c r="C50" s="86" t="str">
        <f ca="1">IF(H50=1,J50,I50)</f>
        <v>Complete</v>
      </c>
      <c r="D50" s="244" t="str">
        <f>IF(H50=1,"Click here to answer question 8 for Tin","")</f>
        <v/>
      </c>
      <c r="E50" s="19" t="s">
        <v>770</v>
      </c>
      <c r="F50" s="91">
        <f>F25</f>
        <v>0</v>
      </c>
      <c r="G50" s="67">
        <f>IF(B50=0,1,0)</f>
        <v>1</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No</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No</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 ca="1">IF(H65=0,"","Click here to provide smelter information")</f>
        <v/>
      </c>
      <c r="E65" s="19" t="s">
        <v>1261</v>
      </c>
      <c r="F65" s="91">
        <f>F24</f>
        <v>0</v>
      </c>
      <c r="G65" s="67">
        <f ca="1">IF(AND(COUNTIF(SmelterIdetifiedForMetal,"Tantalum")&gt;0,COUNTIF('Smelter List'!AB$5:AB$2504,"Tantalum?*")&gt;0),0,1)</f>
        <v>1</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 ca="1">IF(H66=0,"","Click here to provide smelter information")</f>
        <v/>
      </c>
      <c r="E66" s="19" t="s">
        <v>770</v>
      </c>
      <c r="F66" s="91">
        <f>F25</f>
        <v>0</v>
      </c>
      <c r="G66" s="67">
        <f ca="1">IF(AND(COUNTIF(SmelterIdetifiedForMetal,"Tin")&gt;0,COUNTIF('Smelter List'!AB$5:AB$2504,"Tin?*")&gt;0),0,1)</f>
        <v>1</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List'!AB$5:AB$2504,"Gold?*")&gt;0),0,1)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 ca="1">IF(H68=0,"","Click here to provide smelter information")</f>
        <v/>
      </c>
      <c r="E68" s="19" t="s">
        <v>770</v>
      </c>
      <c r="F68" s="91">
        <f>F27</f>
        <v>0</v>
      </c>
      <c r="G68" s="67">
        <f ca="1">IF(AND(COUNTIF(SmelterIdetifiedForMetal,"Tungsten")&gt;0,COUNTIF('Smelter List'!AB$5:AB$2504,"Tungsten?*")&gt;0),0,1)</f>
        <v>1</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Kim Bonatsos</cp:lastModifiedBy>
  <cp:lastPrinted>2015-04-21T20:47:43Z</cp:lastPrinted>
  <dcterms:created xsi:type="dcterms:W3CDTF">2010-06-21T21:00:23Z</dcterms:created>
  <dcterms:modified xsi:type="dcterms:W3CDTF">2026-06-08T12:05:54Z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