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U:\misc\"/>
    </mc:Choice>
  </mc:AlternateContent>
  <xr:revisionPtr revIDLastSave="0" documentId="8_{760DE7FE-F46E-42A7-9A7B-4F8887E40416}"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5" i="5" s="1"/>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s="1"/>
  <c r="B62" i="6"/>
  <c r="G62" i="6" s="1"/>
  <c r="B60" i="6"/>
  <c r="G60" i="6" s="1"/>
  <c r="B59" i="6"/>
  <c r="G59" i="6" s="1"/>
  <c r="B58" i="6"/>
  <c r="G58" i="6" s="1"/>
  <c r="B57" i="6"/>
  <c r="G57" i="6" s="1"/>
  <c r="B56" i="6"/>
  <c r="G56" i="6" s="1"/>
  <c r="B55" i="6"/>
  <c r="G55" i="6" s="1"/>
  <c r="B54" i="6"/>
  <c r="G54" i="6"/>
  <c r="B17" i="6"/>
  <c r="B16" i="6"/>
  <c r="B15" i="6"/>
  <c r="B14" i="6"/>
  <c r="G14" i="6"/>
  <c r="H14" i="6"/>
  <c r="D14" i="6" s="1"/>
  <c r="H13" i="6"/>
  <c r="B12" i="6"/>
  <c r="G12" i="6" s="1"/>
  <c r="H12" i="6" s="1"/>
  <c r="D12" i="6" s="1"/>
  <c r="B11" i="6"/>
  <c r="G11" i="6" s="1"/>
  <c r="H11" i="6" s="1"/>
  <c r="D11" i="6" s="1"/>
  <c r="G10" i="6"/>
  <c r="H10" i="6" s="1"/>
  <c r="D10" i="6" s="1"/>
  <c r="G9" i="6"/>
  <c r="H9" i="6" s="1"/>
  <c r="B8" i="6"/>
  <c r="G8" i="6"/>
  <c r="H8" i="6" s="1"/>
  <c r="D8" i="6" s="1"/>
  <c r="B7" i="6"/>
  <c r="G7" i="6" s="1"/>
  <c r="H7" i="6" s="1"/>
  <c r="D7" i="6" s="1"/>
  <c r="B6" i="6"/>
  <c r="G6" i="6"/>
  <c r="B5" i="6"/>
  <c r="F6" i="6" s="1"/>
  <c r="H6" i="6" s="1"/>
  <c r="B4" i="6"/>
  <c r="G4" i="6" s="1"/>
  <c r="H4" i="6" s="1"/>
  <c r="S2492" i="5"/>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F22" i="6"/>
  <c r="B22" i="6"/>
  <c r="F27" i="6" s="1"/>
  <c r="F64" i="6"/>
  <c r="G5" i="6"/>
  <c r="H5" i="6"/>
  <c r="D5" i="6" s="1"/>
  <c r="G17" i="6"/>
  <c r="H17" i="6"/>
  <c r="G15" i="6"/>
  <c r="H15" i="6"/>
  <c r="B20" i="6"/>
  <c r="F25" i="6"/>
  <c r="B21" i="6"/>
  <c r="B51" i="6" s="1"/>
  <c r="G51" i="6" s="1"/>
  <c r="G16" i="6"/>
  <c r="H16" i="6"/>
  <c r="B19" i="6"/>
  <c r="A38" i="2"/>
  <c r="J4" i="5"/>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7" i="4" s="1"/>
  <c r="B44" i="4"/>
  <c r="A29" i="6" s="1"/>
  <c r="A4" i="5"/>
  <c r="I4" i="5"/>
  <c r="I14" i="6"/>
  <c r="I15" i="6"/>
  <c r="C15" i="6" s="1"/>
  <c r="I16" i="6"/>
  <c r="C16" i="6" s="1"/>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c r="H30" i="6" s="1"/>
  <c r="D30" i="6" s="1"/>
  <c r="B41" i="6"/>
  <c r="G41" i="6" s="1"/>
  <c r="B31" i="6"/>
  <c r="G31" i="6" s="1"/>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s="1"/>
  <c r="B37" i="6"/>
  <c r="G37" i="6" s="1"/>
  <c r="B42" i="6"/>
  <c r="G42" i="6"/>
  <c r="B40" i="6"/>
  <c r="G40" i="6"/>
  <c r="H40" i="6" s="1"/>
  <c r="D40" i="6" s="1"/>
  <c r="B50" i="6"/>
  <c r="G50" i="6"/>
  <c r="B25" i="6"/>
  <c r="G25" i="6" s="1"/>
  <c r="H25" i="6" s="1"/>
  <c r="D25" i="6" s="1"/>
  <c r="B35" i="6"/>
  <c r="G35" i="6" s="1"/>
  <c r="B39" i="6"/>
  <c r="G39" i="6" s="1"/>
  <c r="F24" i="6"/>
  <c r="H24" i="6" s="1"/>
  <c r="D24" i="6" s="1"/>
  <c r="B44" i="6"/>
  <c r="G44" i="6" s="1"/>
  <c r="G32" i="6"/>
  <c r="B49" i="6"/>
  <c r="G49" i="6"/>
  <c r="B34" i="6"/>
  <c r="G34" i="6" s="1"/>
  <c r="B29" i="6"/>
  <c r="G29" i="6"/>
  <c r="B24" i="6"/>
  <c r="G24" i="6"/>
  <c r="G19" i="6"/>
  <c r="H19" i="6" s="1"/>
  <c r="D19" i="6" s="1"/>
  <c r="G22" i="6"/>
  <c r="H22" i="6" s="1"/>
  <c r="B47" i="6"/>
  <c r="G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s="1"/>
  <c r="H26" i="6" s="1"/>
  <c r="D26" i="6" s="1"/>
  <c r="G21" i="6"/>
  <c r="H21" i="6" s="1"/>
  <c r="B36" i="6"/>
  <c r="G36" i="6"/>
  <c r="G20" i="6"/>
  <c r="H20" i="6"/>
  <c r="K66" i="6" s="1"/>
  <c r="B45" i="6"/>
  <c r="G45" i="6" s="1"/>
  <c r="H45" i="6" s="1"/>
  <c r="D45" i="6" s="1"/>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D31" i="6" s="1"/>
  <c r="F46" i="6"/>
  <c r="F41" i="6"/>
  <c r="F36" i="6"/>
  <c r="F51" i="6"/>
  <c r="H51" i="6" s="1"/>
  <c r="D51" i="6" s="1"/>
  <c r="F45" i="6"/>
  <c r="F66" i="6"/>
  <c r="F50" i="6"/>
  <c r="H50" i="6"/>
  <c r="D50" i="6" s="1"/>
  <c r="F30" i="6"/>
  <c r="F35" i="6"/>
  <c r="H35" i="6" s="1"/>
  <c r="D35" i="6" s="1"/>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984" i="5"/>
  <c r="F984" i="5"/>
  <c r="R984" i="5"/>
  <c r="J984" i="5"/>
  <c r="I984" i="5"/>
  <c r="F65" i="6"/>
  <c r="C2" i="6" s="1"/>
  <c r="F49" i="6"/>
  <c r="H49" i="6" s="1"/>
  <c r="D49" i="6" s="1"/>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c r="R379" i="5"/>
  <c r="E379" i="5"/>
  <c r="X379" i="5" s="1"/>
  <c r="H423" i="5"/>
  <c r="E423" i="5"/>
  <c r="X423" i="5" s="1"/>
  <c r="X60" i="5"/>
  <c r="X80" i="5"/>
  <c r="X343" i="5"/>
  <c r="X36" i="5"/>
  <c r="X52"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G6" i="5"/>
  <c r="R6" i="5"/>
  <c r="F6" i="5"/>
  <c r="I6" i="5"/>
  <c r="H6" i="5"/>
  <c r="E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B34" i="4"/>
  <c r="A21" i="6" s="1"/>
  <c r="B56" i="4"/>
  <c r="A39" i="6" s="1"/>
  <c r="B68" i="4"/>
  <c r="A49" i="6" s="1"/>
  <c r="A24" i="6"/>
  <c r="G31" i="4"/>
  <c r="G61" i="4"/>
  <c r="G43" i="4"/>
  <c r="A17" i="6"/>
  <c r="B35" i="4"/>
  <c r="A22" i="6" s="1"/>
  <c r="D31" i="4"/>
  <c r="D55" i="4"/>
  <c r="D67" i="4"/>
  <c r="D49" i="4"/>
  <c r="D61" i="4"/>
  <c r="D37" i="4"/>
  <c r="D74" i="4"/>
  <c r="D43" i="4"/>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C12" i="6" l="1"/>
  <c r="C5" i="5"/>
  <c r="B62" i="4"/>
  <c r="A44" i="6" s="1"/>
  <c r="B33" i="4"/>
  <c r="A20" i="6" s="1"/>
  <c r="A25" i="6"/>
  <c r="X6" i="5"/>
  <c r="H36" i="6"/>
  <c r="D36" i="6" s="1"/>
  <c r="B58" i="4"/>
  <c r="A41" i="6" s="1"/>
  <c r="B52" i="4"/>
  <c r="A36" i="6" s="1"/>
  <c r="B64" i="4"/>
  <c r="A46" i="6" s="1"/>
  <c r="B70" i="4"/>
  <c r="A51" i="6" s="1"/>
  <c r="H41" i="6"/>
  <c r="D41" i="6" s="1"/>
  <c r="B59" i="4"/>
  <c r="A42" i="6" s="1"/>
  <c r="B53" i="4"/>
  <c r="A37" i="6" s="1"/>
  <c r="A27" i="6"/>
  <c r="B65" i="4"/>
  <c r="A47" i="6" s="1"/>
  <c r="B71" i="4"/>
  <c r="A52" i="6" s="1"/>
  <c r="D22" i="6"/>
  <c r="K68" i="6"/>
  <c r="H27" i="6"/>
  <c r="D27" i="6" s="1"/>
  <c r="F68" i="6"/>
  <c r="F32" i="6"/>
  <c r="H32" i="6" s="1"/>
  <c r="D32" i="6" s="1"/>
  <c r="F52" i="6"/>
  <c r="H52" i="6" s="1"/>
  <c r="D52" i="6" s="1"/>
  <c r="F47" i="6"/>
  <c r="H47" i="6" s="1"/>
  <c r="D47" i="6" s="1"/>
  <c r="F37" i="6"/>
  <c r="H37" i="6" s="1"/>
  <c r="D37" i="6" s="1"/>
  <c r="F42" i="6"/>
  <c r="H42" i="6" s="1"/>
  <c r="D42" i="6" s="1"/>
  <c r="C52" i="6"/>
  <c r="C27" i="6"/>
  <c r="C17" i="6"/>
  <c r="C22" i="6"/>
  <c r="K67" i="6"/>
  <c r="D21" i="6"/>
  <c r="C36" i="6"/>
  <c r="C51" i="6"/>
  <c r="C31" i="6"/>
  <c r="B32" i="4"/>
  <c r="A19" i="6" s="1"/>
  <c r="C46" i="6"/>
  <c r="C21" i="6"/>
  <c r="C26" i="6"/>
  <c r="B69" i="4"/>
  <c r="A50" i="6" s="1"/>
  <c r="B63" i="4"/>
  <c r="A45" i="6" s="1"/>
  <c r="C50" i="6"/>
  <c r="C20" i="6"/>
  <c r="C25" i="6"/>
  <c r="D20" i="6"/>
  <c r="B57" i="4"/>
  <c r="A40" i="6" s="1"/>
  <c r="C30" i="6"/>
  <c r="C35" i="6"/>
  <c r="C40" i="6"/>
  <c r="C45" i="6"/>
  <c r="B89" i="4"/>
  <c r="A63" i="6" s="1"/>
  <c r="B77" i="4"/>
  <c r="A55" i="6" s="1"/>
  <c r="B79" i="4"/>
  <c r="A57" i="6" s="1"/>
  <c r="B31" i="4"/>
  <c r="A18" i="6" s="1"/>
  <c r="B67" i="4"/>
  <c r="A48" i="6" s="1"/>
  <c r="B37" i="4"/>
  <c r="A23" i="6" s="1"/>
  <c r="B83" i="4"/>
  <c r="A59" i="6" s="1"/>
  <c r="B43" i="4"/>
  <c r="A28" i="6" s="1"/>
  <c r="B61" i="4"/>
  <c r="A43" i="6" s="1"/>
  <c r="B49" i="4"/>
  <c r="A33" i="6" s="1"/>
  <c r="B87" i="4"/>
  <c r="A62" i="6" s="1"/>
  <c r="B75" i="4"/>
  <c r="A54" i="6" s="1"/>
  <c r="B85" i="4"/>
  <c r="A60" i="6" s="1"/>
  <c r="B55" i="4"/>
  <c r="A38" i="6" s="1"/>
  <c r="B81" i="4"/>
  <c r="A58" i="6" s="1"/>
  <c r="G37" i="4"/>
  <c r="C49" i="6"/>
  <c r="C19" i="6"/>
  <c r="G49" i="4"/>
  <c r="F29" i="6"/>
  <c r="H29" i="6" s="1"/>
  <c r="D29" i="6" s="1"/>
  <c r="C29" i="6"/>
  <c r="F54" i="6"/>
  <c r="F39" i="6"/>
  <c r="H39" i="6" s="1"/>
  <c r="D39" i="6" s="1"/>
  <c r="C44" i="6"/>
  <c r="F34" i="6"/>
  <c r="H34" i="6" s="1"/>
  <c r="D34" i="6" s="1"/>
  <c r="B2" i="6"/>
  <c r="F44" i="6"/>
  <c r="H44" i="6" s="1"/>
  <c r="D44" i="6" s="1"/>
  <c r="C24" i="6"/>
  <c r="C39" i="6"/>
  <c r="C14" i="6"/>
  <c r="G55" i="4"/>
  <c r="G74" i="4"/>
  <c r="K65" i="6"/>
  <c r="D9" i="6"/>
  <c r="C9" i="6"/>
  <c r="C11" i="6"/>
  <c r="C10" i="6"/>
  <c r="C8" i="6"/>
  <c r="C7" i="6"/>
  <c r="D6" i="6"/>
  <c r="C6" i="6"/>
  <c r="G64" i="6"/>
  <c r="C4" i="6"/>
  <c r="D4" i="6"/>
  <c r="V5" i="5" l="1"/>
  <c r="F69" i="6"/>
  <c r="C69" i="6" s="1"/>
  <c r="AB5" i="5"/>
  <c r="C41" i="6"/>
  <c r="C47" i="6"/>
  <c r="C42" i="6"/>
  <c r="C37" i="6"/>
  <c r="C32" i="6"/>
  <c r="C34" i="6"/>
  <c r="F63" i="6"/>
  <c r="H63" i="6" s="1"/>
  <c r="F59" i="6"/>
  <c r="H59" i="6" s="1"/>
  <c r="F55" i="6"/>
  <c r="F57" i="6"/>
  <c r="H57" i="6" s="1"/>
  <c r="H54" i="6"/>
  <c r="F62" i="6"/>
  <c r="H62" i="6" s="1"/>
  <c r="F58" i="6"/>
  <c r="H58" i="6" s="1"/>
  <c r="F60" i="6"/>
  <c r="H60" i="6" s="1"/>
  <c r="B64" i="6"/>
  <c r="H64" i="6"/>
  <c r="G65" i="6" l="1"/>
  <c r="H65" i="6" s="1"/>
  <c r="G68" i="6"/>
  <c r="H68" i="6" s="1"/>
  <c r="G67" i="6"/>
  <c r="H67" i="6" s="1"/>
  <c r="G66" i="6"/>
  <c r="H66" i="6" s="1"/>
  <c r="F5" i="5"/>
  <c r="R5" i="5"/>
  <c r="E5" i="5"/>
  <c r="I5" i="5"/>
  <c r="J5" i="5"/>
  <c r="G5" i="5"/>
  <c r="D54" i="6"/>
  <c r="C54" i="6"/>
  <c r="D60" i="6"/>
  <c r="C60" i="6"/>
  <c r="D62" i="6"/>
  <c r="C62" i="6"/>
  <c r="F56" i="6"/>
  <c r="H56" i="6" s="1"/>
  <c r="H55" i="6"/>
  <c r="D63" i="6"/>
  <c r="C63" i="6"/>
  <c r="D58" i="6"/>
  <c r="C58" i="6"/>
  <c r="D57" i="6"/>
  <c r="C57" i="6"/>
  <c r="D59" i="6"/>
  <c r="C59" i="6"/>
  <c r="D64" i="6"/>
  <c r="C64" i="6"/>
  <c r="X5" i="5" l="1"/>
  <c r="G69" i="6" a="1"/>
  <c r="G69" i="6" s="1"/>
  <c r="H69" i="6" s="1"/>
  <c r="H70" i="6" s="1"/>
  <c r="D2" i="6" s="1"/>
  <c r="D66" i="6"/>
  <c r="C66" i="6"/>
  <c r="C67" i="6"/>
  <c r="D67" i="6"/>
  <c r="D68" i="6"/>
  <c r="C68" i="6"/>
  <c r="D65" i="6"/>
  <c r="C65" i="6"/>
  <c r="D55" i="6"/>
  <c r="C55" i="6"/>
  <c r="D56" i="6"/>
  <c r="C56" i="6"/>
  <c r="S5"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<sst xmlns="http://schemas.openxmlformats.org/spreadsheetml/2006/main" count="22551" uniqueCount="15899">
  <si>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</si>
  <si>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</si>
  <si>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</si>
  <si>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</si>
  <si>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</si>
  <si>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</si>
  <si>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</si>
  <si>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</si>
  <si>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</si>
  <si>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</si>
  <si>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</si>
  <si>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</si>
  <si>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</si>
  <si>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</si>
  <si>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</si>
  <si>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</si>
  <si>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</si>
  <si>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</si>
  <si>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</si>
  <si>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</si>
  <si>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</si>
  <si>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</si>
  <si>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</si>
  <si>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</si>
  <si>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</si>
  <si>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</si>
  <si>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</si>
  <si>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</si>
  <si>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</si>
  <si>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</si>
  <si>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</si>
  <si>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</si>
  <si>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</si>
  <si>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</si>
  <si>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</si>
  <si>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</si>
  <si>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</si>
  <si>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</si>
  <si>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</si>
  <si>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</si>
  <si>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</si>
  <si>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</si>
  <si>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</si>
  <si>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</si>
  <si>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</si>
  <si>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</si>
  <si>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</si>
  <si>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</si>
  <si>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</si>
  <si>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</si>
  <si>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</si>
  <si>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</si>
  <si>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</si>
  <si>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</si>
  <si>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</si>
  <si>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</si>
  <si>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</si>
  <si>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</si>
  <si>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</si>
  <si>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</si>
  <si>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</si>
  <si>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</si>
  <si>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</si>
  <si>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</si>
  <si>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</si>
  <si>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</si>
  <si>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</si>
  <si>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</si>
  <si>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</si>
  <si>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</si>
  <si>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</si>
  <si>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</si>
  <si>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</si>
  <si>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</si>
  <si>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</si>
  <si>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</si>
  <si>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</si>
  <si>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</si>
  <si>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</si>
  <si>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</si>
  <si>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</si>
  <si>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</si>
  <si>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</si>
  <si>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</si>
  <si>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</si>
  <si>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</si>
  <si>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</si>
  <si>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</si>
  <si>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</si>
  <si>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</si>
  <si>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</si>
  <si>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</si>
  <si>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</si>
  <si>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</si>
  <si>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</si>
  <si>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</si>
  <si>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</si>
  <si>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</si>
  <si>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</si>
  <si>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</si>
  <si>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</si>
  <si>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</si>
  <si>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</si>
  <si>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</si>
  <si>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</si>
  <si>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</si>
  <si>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</si>
  <si>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</si>
  <si>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</si>
  <si>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</si>
  <si>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</si>
  <si>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</si>
  <si>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</si>
  <si>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</si>
  <si>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</si>
  <si>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</si>
  <si>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</si>
  <si>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</si>
  <si>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</si>
  <si>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</si>
  <si>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</si>
  <si>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</si>
  <si>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</si>
  <si>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</si>
  <si>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</si>
  <si>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</si>
  <si>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</si>
  <si>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</si>
  <si>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</si>
  <si>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</si>
  <si>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</si>
  <si>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</si>
  <si>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</si>
  <si>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</si>
  <si>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</si>
  <si>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</si>
  <si>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</si>
  <si>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</si>
  <si>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</si>
  <si>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</si>
  <si>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</si>
  <si>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</si>
  <si>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</si>
  <si>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</si>
  <si>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</si>
  <si>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</si>
  <si>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</si>
  <si>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</si>
  <si>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</si>
  <si>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</si>
  <si>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</si>
  <si>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</si>
  <si>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</si>
  <si>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</si>
  <si>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</si>
  <si>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</si>
  <si>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</si>
  <si>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</si>
  <si>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</si>
  <si>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</si>
  <si>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</si>
  <si>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</si>
  <si>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</si>
  <si>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</si>
  <si>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</si>
  <si>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</si>
  <si>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</si>
  <si>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</si>
  <si>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</si>
  <si>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</si>
  <si>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</si>
  <si>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</si>
  <si>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</si>
  <si>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</si>
  <si>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</si>
  <si>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</si>
  <si>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</si>
  <si>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</si>
  <si>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</si>
  <si>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</si>
  <si>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</si>
  <si>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</si>
  <si>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</si>
  <si>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</si>
  <si>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</si>
  <si>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</si>
  <si>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</si>
  <si>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</si>
  <si>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</si>
  <si>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</si>
  <si>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</si>
  <si>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</si>
  <si>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</si>
  <si>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</si>
  <si>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</si>
  <si>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</si>
  <si>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</si>
  <si>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</si>
  <si>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</si>
  <si>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</si>
  <si>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</si>
  <si>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</si>
  <si>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</si>
  <si>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</si>
  <si>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</si>
  <si>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</si>
  <si>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</si>
  <si>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</si>
  <si>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</si>
  <si>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</si>
  <si>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</si>
  <si>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</si>
  <si>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</si>
  <si>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</si>
  <si>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</si>
  <si>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</si>
  <si>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</si>
  <si>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</si>
  <si>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</si>
  <si>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</si>
  <si>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</si>
  <si>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</si>
  <si>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</si>
  <si>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</si>
  <si>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</si>
  <si>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</si>
  <si>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</si>
  <si>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</si>
  <si>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</si>
  <si>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</si>
  <si>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</si>
  <si>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</si>
  <si>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</si>
  <si>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</si>
  <si>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</si>
  <si>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</si>
  <si>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</si>
  <si>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</si>
  <si>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</si>
  <si>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</si>
  <si>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</si>
  <si>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</si>
  <si>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</si>
  <si>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</si>
  <si>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</si>
  <si>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</si>
  <si>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</si>
  <si>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</si>
  <si>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</si>
  <si>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</si>
  <si>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</si>
  <si>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</si>
  <si>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</si>
  <si>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</si>
  <si>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</si>
  <si>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</si>
  <si>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</si>
  <si>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</si>
  <si>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</si>
  <si>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</si>
  <si>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</si>
  <si>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</si>
  <si>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</si>
  <si>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</si>
  <si>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</si>
  <si>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</si>
  <si>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</si>
  <si>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</si>
  <si>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</si>
  <si>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</si>
  <si>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</si>
  <si>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</si>
  <si>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</si>
  <si>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</si>
  <si>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</si>
  <si>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</si>
  <si>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</si>
  <si>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</si>
  <si>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</si>
  <si>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</si>
  <si>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</si>
  <si>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</si>
  <si>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</si>
  <si>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</si>
  <si>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</si>
  <si>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</si>
  <si>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</si>
  <si>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</si>
  <si>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</si>
  <si>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</si>
  <si>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</si>
  <si>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</si>
  <si>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</si>
  <si>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</si>
  <si>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</si>
  <si>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</si>
  <si>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</si>
  <si>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</si>
  <si>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</si>
  <si>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</si>
  <si>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</si>
  <si>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</si>
  <si>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</si>
  <si>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</si>
  <si>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</si>
  <si>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</si>
  <si>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</si>
  <si>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</si>
  <si>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</si>
  <si>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</si>
  <si>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</si>
  <si>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</si>
  <si>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</si>
  <si>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</si>
  <si>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</si>
  <si>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</si>
  <si>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</si>
  <si>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</si>
  <si>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</si>
  <si>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</si>
  <si>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</si>
  <si>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</si>
  <si>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</si>
  <si>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</si>
  <si>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</si>
  <si>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</si>
  <si>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</si>
  <si>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</si>
  <si>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</si>
  <si>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</si>
  <si>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</si>
  <si>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</si>
  <si>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</si>
  <si>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</si>
  <si>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</si>
  <si>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</si>
  <si>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</si>
  <si>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</si>
  <si>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</si>
  <si>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</si>
  <si>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</si>
  <si>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</si>
  <si>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</si>
  <si>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</si>
  <si>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</si>
  <si>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</si>
  <si>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</si>
  <si>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</si>
  <si>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</si>
  <si>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</si>
  <si>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</si>
  <si>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</si>
  <si>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</si>
  <si>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</si>
  <si>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</si>
  <si>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</si>
  <si>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</si>
  <si>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</si>
  <si>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</si>
  <si>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</si>
  <si>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</si>
  <si>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</si>
  <si>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</si>
  <si>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</si>
  <si>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</si>
  <si>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</si>
  <si>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</si>
  <si>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</si>
  <si>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</si>
  <si>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</si>
  <si>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</si>
  <si>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</si>
  <si>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</si>
  <si>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</si>
  <si>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</si>
  <si>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</si>
  <si>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</si>
  <si>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</si>
  <si>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</si>
  <si>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</si>
  <si>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</si>
  <si>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</si>
  <si>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</si>
  <si>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</si>
  <si>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</si>
  <si>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</si>
  <si>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</si>
  <si>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</si>
  <si>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</si>
  <si>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</si>
  <si>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</si>
  <si>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</si>
  <si>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</si>
  <si>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</si>
  <si>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</si>
  <si>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</si>
  <si>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</si>
  <si>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</si>
  <si>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</si>
  <si>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</si>
  <si>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</si>
  <si>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</si>
  <si>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</si>
  <si>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</si>
  <si>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</si>
  <si>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</si>
  <si>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</si>
  <si>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</si>
  <si>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</si>
  <si>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</si>
  <si>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</si>
  <si>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</si>
  <si>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</si>
  <si>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</si>
  <si>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</si>
  <si>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</si>
  <si>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</si>
  <si>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</si>
  <si>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</si>
  <si>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</si>
  <si>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</si>
  <si>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</si>
  <si>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</si>
  <si>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</si>
  <si>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</si>
  <si>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</si>
  <si>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</si>
  <si>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</si>
  <si>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</si>
  <si>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</si>
  <si>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</si>
  <si>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</si>
  <si>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</si>
  <si>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</si>
  <si>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</si>
  <si>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</si>
  <si>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</si>
  <si>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</si>
  <si>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</si>
  <si>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</si>
  <si>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</si>
  <si>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</si>
  <si>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</si>
  <si>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</si>
  <si>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</si>
  <si>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</si>
  <si>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</si>
  <si>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</si>
  <si>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</si>
  <si>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</si>
  <si>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</si>
  <si>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</si>
  <si>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</si>
  <si>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</si>
  <si>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</si>
  <si>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</si>
  <si>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</si>
  <si>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</si>
  <si>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</si>
  <si>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</si>
  <si>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</si>
  <si>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</si>
  <si>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</si>
  <si>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</si>
  <si>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</si>
  <si>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</si>
  <si>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</si>
  <si>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</si>
  <si>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</si>
  <si>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</si>
  <si>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</si>
  <si>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</si>
  <si>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</si>
  <si>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</si>
  <si>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</si>
  <si>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</si>
  <si>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</si>
  <si>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</si>
  <si>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</si>
  <si>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</si>
  <si>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</si>
  <si>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</si>
  <si>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</si>
  <si>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</si>
  <si>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</si>
  <si>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</si>
  <si>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</si>
  <si>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</si>
  <si>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</si>
  <si>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</si>
  <si>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</si>
  <si>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</si>
  <si>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</si>
  <si>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</si>
  <si>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</si>
  <si>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</si>
  <si>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</si>
  <si>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</si>
  <si>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</si>
  <si>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</si>
  <si>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</si>
  <si>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</si>
  <si>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</si>
  <si>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</si>
  <si>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</si>
  <si>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</si>
  <si>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</si>
  <si>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</si>
  <si>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</si>
  <si>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</si>
  <si>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</si>
  <si>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</si>
  <si>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</si>
  <si>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</si>
  <si>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</si>
  <si>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</si>
  <si>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</si>
  <si>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</si>
  <si>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</si>
  <si>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</si>
  <si>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</si>
  <si>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</si>
  <si>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</si>
  <si>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</si>
  <si>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</si>
  <si>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</si>
  <si>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</si>
  <si>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</si>
  <si>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</si>
  <si>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</si>
  <si>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</si>
  <si>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</si>
  <si>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</si>
  <si>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</si>
  <si>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</si>
  <si>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</si>
  <si>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</si>
  <si>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</si>
  <si>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</si>
  <si>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</si>
  <si>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</si>
  <si>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</si>
  <si>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</si>
  <si>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</si>
  <si>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</si>
  <si>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</si>
  <si>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</si>
  <si>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</si>
  <si>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</si>
  <si>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</si>
  <si>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</si>
  <si>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</si>
  <si>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</si>
  <si>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</si>
  <si>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</si>
  <si>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</si>
  <si>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</si>
  <si>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</si>
  <si>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</si>
  <si>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</si>
  <si>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</si>
  <si>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</si>
  <si>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</si>
  <si>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</si>
  <si>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</si>
  <si>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</si>
  <si>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</si>
  <si>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</si>
  <si>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</si>
  <si>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</si>
  <si>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</si>
  <si>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</si>
  <si>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</si>
  <si>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</si>
  <si>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</si>
  <si>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</si>
  <si>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</si>
  <si>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</si>
  <si>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</si>
  <si>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</si>
  <si>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</si>
  <si>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</si>
  <si>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</si>
  <si>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</si>
  <si>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</si>
  <si>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</si>
  <si>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</si>
  <si>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</si>
  <si>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</si>
  <si>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</si>
  <si>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</si>
  <si>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</si>
  <si>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</si>
  <si>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</si>
  <si>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</si>
  <si>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</si>
  <si>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</si>
  <si>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</si>
  <si>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</si>
  <si>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</si>
  <si>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</si>
  <si>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</si>
  <si>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</si>
  <si>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</si>
  <si>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</si>
  <si>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</si>
  <si>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</si>
  <si>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</si>
  <si>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</si>
  <si>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</si>
  <si>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</si>
  <si>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</si>
  <si>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</si>
  <si>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</si>
  <si>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</si>
  <si>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</si>
  <si>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</si>
  <si>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</si>
  <si>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</si>
  <si>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</si>
  <si>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</si>
  <si>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</si>
  <si>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</si>
  <si>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</si>
  <si>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</si>
  <si>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</si>
  <si>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</si>
  <si>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</si>
  <si>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</si>
  <si>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</si>
  <si>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</si>
  <si>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</si>
  <si>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</si>
  <si>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</si>
  <si>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</si>
  <si>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</si>
  <si>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</si>
  <si>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</si>
  <si>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</si>
  <si>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</si>
  <si>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</si>
  <si>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</si>
  <si>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</si>
  <si>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</si>
  <si>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</si>
  <si>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</si>
  <si>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</si>
  <si>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</si>
  <si>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</si>
  <si>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</si>
  <si>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</si>
  <si>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</si>
  <si>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</si>
  <si>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</si>
  <si>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</si>
  <si>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</si>
  <si>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</si>
  <si>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</si>
  <si>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</si>
  <si>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</si>
  <si>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</si>
  <si>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</si>
  <si>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</si>
  <si>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</si>
  <si>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</si>
  <si>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</si>
  <si>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</si>
  <si>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</si>
  <si>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</si>
  <si>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</si>
  <si>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</si>
  <si>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</si>
  <si>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</si>
  <si>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</si>
  <si>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</si>
  <si>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</si>
  <si>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</si>
  <si>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</si>
  <si>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</si>
  <si>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</si>
  <si>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</si>
  <si>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</si>
  <si>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</si>
  <si>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</si>
  <si>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</si>
  <si>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</si>
  <si>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</si>
  <si>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</si>
  <si>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</si>
  <si>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</si>
  <si>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</si>
  <si>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</si>
  <si>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</si>
  <si>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</si>
  <si>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</si>
  <si>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</si>
  <si>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</si>
  <si>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</si>
  <si>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</si>
  <si>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</si>
  <si>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</si>
  <si>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</si>
  <si>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</si>
  <si>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</si>
  <si>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</si>
  <si>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</si>
  <si>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</si>
  <si>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</si>
  <si>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</si>
  <si>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</si>
  <si>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</si>
  <si>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</si>
  <si>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</si>
  <si>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</si>
  <si>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</si>
  <si>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</si>
  <si>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</si>
  <si>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</si>
  <si>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</si>
  <si>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</si>
  <si>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</si>
  <si>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</si>
  <si>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</si>
  <si>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</si>
  <si>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</si>
  <si>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</si>
  <si>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</si>
  <si>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</si>
  <si>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</si>
  <si>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</si>
  <si>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</si>
  <si>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</si>
  <si>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</si>
  <si>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</si>
  <si>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</si>
  <si>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</si>
  <si>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</si>
  <si>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</si>
  <si>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</si>
  <si>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</si>
  <si>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</si>
  <si>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</si>
  <si>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</si>
  <si>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</si>
  <si>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</si>
  <si>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</si>
  <si>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</si>
  <si>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</si>
  <si>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</si>
  <si>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</si>
  <si>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</si>
  <si>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</si>
  <si>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</si>
  <si>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</si>
  <si>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</si>
  <si>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</si>
  <si>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</si>
  <si>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</si>
  <si>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</si>
  <si>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</si>
  <si>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</si>
  <si>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</si>
  <si>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</si>
  <si>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</si>
  <si>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</si>
  <si>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</si>
  <si>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</si>
  <si>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</si>
  <si>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</si>
  <si>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</si>
  <si>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</si>
  <si>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</si>
  <si>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</si>
  <si>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</si>
  <si>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</si>
  <si>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</si>
  <si>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</si>
  <si>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</si>
  <si>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</si>
  <si>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</si>
  <si>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</si>
  <si>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</si>
  <si>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</si>
  <si>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</si>
  <si>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</si>
  <si>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</si>
  <si>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</si>
  <si>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</si>
  <si>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</si>
  <si>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</si>
  <si>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</si>
  <si>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</si>
  <si>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</si>
  <si>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</si>
  <si>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</si>
  <si>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</si>
  <si>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</si>
  <si>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</si>
  <si>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</si>
  <si>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</si>
  <si>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</si>
  <si>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</si>
  <si>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</si>
  <si>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</si>
  <si>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</si>
  <si>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</si>
  <si>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</si>
  <si>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</si>
  <si>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</si>
  <si>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</si>
  <si>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</si>
  <si>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</si>
  <si>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</si>
  <si>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</si>
  <si>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</si>
  <si>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</si>
  <si>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</si>
  <si>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</si>
  <si>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</si>
  <si>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</si>
  <si>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</si>
  <si>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</si>
  <si>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</si>
  <si>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</si>
  <si>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</si>
  <si>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</si>
  <si>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</si>
  <si>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</si>
  <si>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</si>
  <si>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</si>
  <si>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</si>
  <si>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</si>
  <si>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</si>
  <si>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</si>
  <si>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</si>
  <si>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</si>
  <si>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</si>
  <si>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</si>
  <si>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</si>
  <si>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</si>
  <si>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</si>
  <si>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</si>
  <si>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</si>
  <si>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</si>
  <si>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</si>
  <si>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</si>
  <si>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</si>
  <si>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</si>
  <si>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</si>
  <si>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</si>
  <si>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</si>
  <si>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</si>
  <si>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</si>
  <si>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</si>
  <si>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</si>
  <si>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</si>
  <si>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</si>
  <si>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</si>
  <si>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</si>
  <si>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</si>
  <si>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</si>
  <si>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</si>
  <si>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</si>
  <si>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</si>
  <si>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</si>
  <si>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</si>
  <si>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</si>
  <si>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</si>
  <si>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</si>
  <si>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</si>
  <si>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</si>
  <si>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</si>
  <si>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</si>
  <si>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</si>
  <si>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</si>
  <si>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</si>
  <si>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</si>
  <si>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</si>
  <si>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</si>
  <si>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</si>
  <si>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</si>
  <si>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</si>
  <si>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</si>
  <si>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</si>
  <si>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</si>
  <si>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</si>
  <si>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</si>
  <si>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</si>
  <si>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</si>
  <si>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</si>
  <si>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</si>
  <si>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</si>
  <si>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</si>
  <si>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</si>
  <si>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</si>
  <si>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</si>
  <si>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</si>
  <si>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</si>
  <si>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</si>
  <si>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</si>
  <si>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</si>
  <si>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</si>
  <si>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</si>
  <si>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</si>
  <si>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</si>
  <si>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</si>
  <si>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</si>
  <si>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</si>
  <si>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</si>
  <si>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</si>
  <si>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</si>
  <si>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</si>
  <si>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</si>
  <si>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</si>
  <si>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</si>
  <si>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</si>
  <si>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</si>
  <si>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</si>
  <si>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</si>
  <si>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</si>
  <si>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</si>
  <si>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</si>
  <si>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</si>
  <si>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</si>
  <si>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</si>
  <si>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</si>
  <si>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</si>
  <si>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</si>
  <si>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</si>
  <si>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</si>
  <si>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</si>
  <si>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</si>
  <si>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</si>
  <si>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</si>
  <si>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</si>
  <si>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</si>
  <si>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</si>
  <si>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</si>
  <si>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</si>
  <si>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</si>
  <si>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</si>
  <si>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</si>
  <si>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</si>
  <si>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</si>
  <si>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</si>
  <si>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</si>
  <si>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</si>
  <si>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</si>
  <si>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</si>
  <si>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</si>
  <si>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</si>
  <si>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</si>
  <si>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</si>
  <si>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</si>
  <si>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</si>
  <si>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</si>
  <si>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</si>
  <si>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</si>
  <si>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</si>
  <si>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</si>
  <si>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</si>
  <si>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</si>
  <si>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</si>
  <si>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</si>
  <si>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</si>
  <si>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</si>
  <si>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</si>
  <si>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</si>
  <si>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</si>
  <si>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</si>
  <si>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</si>
  <si>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</si>
  <si>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</si>
  <si>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</si>
  <si>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</si>
  <si>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</si>
  <si>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</si>
  <si>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</si>
  <si>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</si>
  <si>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</si>
  <si>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</si>
  <si>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</si>
  <si>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</si>
  <si>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</si>
  <si>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</si>
  <si>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</si>
  <si>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</si>
  <si>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</si>
  <si>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</si>
  <si>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</si>
  <si>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</si>
  <si>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</si>
  <si>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</si>
  <si>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</si>
  <si>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</si>
  <si>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</si>
  <si>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</si>
  <si>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</si>
  <si>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</si>
  <si>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</si>
  <si>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</si>
  <si>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</si>
  <si>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</si>
  <si>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</si>
  <si>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</si>
  <si>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</si>
  <si>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</si>
  <si>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</si>
  <si>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</si>
  <si>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</si>
  <si>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</si>
  <si>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</si>
  <si>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</si>
  <si>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</si>
  <si>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</si>
  <si>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</si>
  <si>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</si>
  <si>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</si>
  <si>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</si>
  <si>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</si>
  <si>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</si>
  <si>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</si>
  <si>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</si>
  <si>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</si>
  <si>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</si>
  <si>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</si>
  <si>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</si>
  <si>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</si>
  <si>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</si>
  <si>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</si>
  <si>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</si>
  <si>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</si>
  <si>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</si>
  <si>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</si>
  <si>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</si>
  <si>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</si>
  <si>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</si>
  <si>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</si>
  <si>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</si>
  <si>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</si>
  <si>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</si>
  <si>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</si>
  <si>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</si>
  <si>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</si>
  <si>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</si>
  <si>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</si>
  <si>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</si>
  <si>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</si>
  <si>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</si>
  <si>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</si>
  <si>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</si>
  <si>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</si>
  <si>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</si>
  <si>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</si>
  <si>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</si>
  <si>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</si>
  <si>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</si>
  <si>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</si>
  <si>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</si>
  <si>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</si>
  <si>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</si>
  <si>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</si>
  <si>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</si>
  <si>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</si>
  <si>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</si>
  <si>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</si>
  <si>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</si>
  <si>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</si>
  <si>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</si>
  <si>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</si>
  <si>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</si>
  <si>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</si>
  <si>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</si>
  <si>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</si>
  <si>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</si>
  <si>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</si>
  <si>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</si>
  <si>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</si>
  <si>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</si>
  <si>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</si>
  <si>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</si>
  <si>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</si>
  <si>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</si>
  <si>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</si>
  <si>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</si>
  <si>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</si>
  <si>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</si>
  <si>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</si>
  <si>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</si>
  <si>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</si>
  <si>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</si>
  <si>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</si>
  <si>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</si>
  <si>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</si>
  <si>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</si>
  <si>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</si>
  <si>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</si>
  <si>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</si>
  <si>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</si>
  <si>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</si>
  <si>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</si>
  <si>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</si>
  <si>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</si>
  <si>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</si>
  <si>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</si>
  <si>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</si>
  <si>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</si>
  <si>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</si>
  <si>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</si>
  <si>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</si>
  <si>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</si>
  <si>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</si>
  <si>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</si>
  <si>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</si>
  <si>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</si>
  <si>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</si>
  <si>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</si>
  <si>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</si>
  <si>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</si>
  <si>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</si>
  <si>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</si>
  <si>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</si>
  <si>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</si>
  <si>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</si>
  <si>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</si>
  <si>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</si>
  <si>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</si>
  <si>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</si>
  <si>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</si>
  <si>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</si>
  <si>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</si>
  <si>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</si>
  <si>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</si>
  <si>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</si>
  <si>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</si>
  <si>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</si>
  <si>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</si>
  <si>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</si>
  <si>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</si>
  <si>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</si>
  <si>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</si>
  <si>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</si>
  <si>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</si>
  <si>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</si>
  <si>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</si>
  <si>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</si>
  <si>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</si>
  <si>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</si>
  <si>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</si>
  <si>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</si>
  <si>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</si>
  <si>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</si>
  <si>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</si>
  <si>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</si>
  <si>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</si>
  <si>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</si>
  <si>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</si>
  <si>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</si>
  <si>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</si>
  <si>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</si>
  <si>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</si>
  <si>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</si>
  <si>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</si>
  <si>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</si>
  <si>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</si>
  <si>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</si>
  <si>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</si>
  <si>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</si>
  <si>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</si>
  <si>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</si>
  <si>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</si>
  <si>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</si>
  <si>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</si>
  <si>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</si>
  <si>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</si>
  <si>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</si>
  <si>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</si>
  <si>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</si>
  <si>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</si>
  <si>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</si>
  <si>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</si>
  <si>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</si>
  <si>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</si>
  <si>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</si>
  <si>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</si>
  <si>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</si>
  <si>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</si>
  <si>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</si>
  <si>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</si>
  <si>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</si>
  <si>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</si>
  <si>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</si>
  <si>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</si>
  <si>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</si>
  <si>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</si>
  <si>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</si>
  <si>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</si>
  <si>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</si>
  <si>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</si>
  <si>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</si>
  <si>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</si>
  <si>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</si>
  <si>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</si>
  <si>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</si>
  <si>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</si>
  <si>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</si>
  <si>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</si>
  <si>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</si>
  <si>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</si>
  <si>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</si>
  <si>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</si>
  <si>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</si>
  <si>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</si>
  <si>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</si>
  <si>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</si>
  <si>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</si>
  <si>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</si>
  <si>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</si>
  <si>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</si>
  <si>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</si>
  <si>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</si>
  <si>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</si>
  <si>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</si>
  <si>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</si>
  <si>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</si>
  <si>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</si>
  <si>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</si>
  <si>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</si>
  <si>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</si>
  <si>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</si>
  <si>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</si>
  <si>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</si>
  <si>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</si>
  <si>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</si>
  <si>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</si>
  <si>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</si>
  <si>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</si>
  <si>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</si>
  <si>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</si>
  <si>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</si>
  <si>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</si>
  <si>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</si>
  <si>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</si>
  <si>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</si>
  <si>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</si>
  <si>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</si>
  <si>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</si>
  <si>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</si>
  <si>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</si>
  <si>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</si>
  <si>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</si>
  <si>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</si>
  <si>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</si>
  <si>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</si>
  <si>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</si>
  <si>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</si>
  <si>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</si>
  <si>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</si>
  <si>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</si>
  <si>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</si>
  <si>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</si>
  <si>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</si>
  <si>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</si>
  <si>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</si>
  <si>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</si>
  <si>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</si>
  <si>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</si>
  <si>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</si>
  <si>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</si>
  <si>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</si>
  <si>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</si>
  <si>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</si>
  <si>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</si>
  <si>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</si>
  <si>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</si>
  <si>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</si>
  <si>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</si>
  <si>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</si>
  <si>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</si>
  <si>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</si>
  <si>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</si>
  <si>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</si>
  <si>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</si>
  <si>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</si>
  <si>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</si>
  <si>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</si>
  <si>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</si>
  <si>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</si>
  <si>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</si>
  <si>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</si>
  <si>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</si>
  <si>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</si>
  <si>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</si>
  <si>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</si>
  <si>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</si>
  <si>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</si>
  <si>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</si>
  <si>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</si>
  <si>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</si>
  <si>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</si>
  <si>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</si>
  <si>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</si>
  <si>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</si>
  <si>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</si>
  <si>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</si>
  <si>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</si>
  <si>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</si>
  <si>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</si>
  <si>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</si>
  <si>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</si>
  <si>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</si>
  <si>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</si>
  <si>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</si>
  <si>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</si>
  <si>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</si>
  <si>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</si>
  <si>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</si>
  <si>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</si>
  <si>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</si>
  <si>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</si>
  <si>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</si>
  <si>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</si>
  <si>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</si>
  <si>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</si>
  <si>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</si>
  <si>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</si>
  <si>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</si>
  <si>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</si>
  <si>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</si>
  <si>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</si>
  <si>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</si>
  <si>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</si>
  <si>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</si>
  <si>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</si>
  <si>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</si>
  <si>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</si>
  <si>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</si>
  <si>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</si>
  <si>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</si>
  <si>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</si>
  <si>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</si>
  <si>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</si>
  <si>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</si>
  <si>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</si>
  <si>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</si>
  <si>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</si>
  <si>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</si>
  <si>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</si>
  <si>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</si>
  <si>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</si>
  <si>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</si>
  <si>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</si>
  <si>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</si>
  <si>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</si>
  <si>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</si>
  <si>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</si>
  <si>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</si>
  <si>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</si>
  <si>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</si>
  <si>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</si>
  <si>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</si>
  <si>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</si>
  <si>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</si>
  <si>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</si>
  <si>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</si>
  <si>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</si>
  <si>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</si>
  <si>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</si>
  <si>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</si>
  <si>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</si>
  <si>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</si>
  <si>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</si>
  <si>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</si>
  <si>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</si>
  <si>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</si>
  <si>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</si>
  <si>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</si>
  <si>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</si>
  <si>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</si>
  <si>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</si>
  <si>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</si>
  <si>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</si>
  <si>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</si>
  <si>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</si>
  <si>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</si>
  <si>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</si>
  <si>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</si>
  <si>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</si>
  <si>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</si>
  <si>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</si>
  <si>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</si>
  <si>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</si>
  <si>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</si>
  <si>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</si>
  <si>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</si>
  <si>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</si>
  <si>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</si>
  <si>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</si>
  <si>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</si>
  <si>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</si>
  <si>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</si>
  <si>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</si>
  <si>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</si>
  <si>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</si>
  <si>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</si>
  <si>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</si>
  <si>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</si>
  <si>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</si>
  <si>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</si>
  <si>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</si>
  <si>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</si>
  <si>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</si>
  <si>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</si>
  <si>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</si>
  <si>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</si>
  <si>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</si>
  <si>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</si>
  <si>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</si>
  <si>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</si>
  <si>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</si>
  <si>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</si>
  <si>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</si>
  <si>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</si>
  <si>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</si>
  <si>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</si>
  <si>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</si>
  <si>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</si>
  <si>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</si>
  <si>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</si>
  <si>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</si>
  <si>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</si>
  <si>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</si>
  <si>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</si>
  <si>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</si>
  <si>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</si>
  <si>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</si>
  <si>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</si>
  <si>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</si>
  <si>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</si>
  <si>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</si>
  <si>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</si>
  <si>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</si>
  <si>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</si>
  <si>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</si>
  <si>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</si>
  <si>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</si>
  <si>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</si>
  <si>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</si>
  <si>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</si>
  <si>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</si>
  <si>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</si>
  <si>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</si>
  <si>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</si>
  <si>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</si>
  <si>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</si>
  <si>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</si>
  <si>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</si>
  <si>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</si>
  <si>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</si>
  <si>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</si>
  <si>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</si>
  <si>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</si>
  <si>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</si>
  <si>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</si>
  <si>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</si>
  <si>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</si>
  <si>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</si>
  <si>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</si>
  <si>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</si>
  <si>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</si>
  <si>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</si>
  <si>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</si>
  <si>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</si>
  <si>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</si>
  <si>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</si>
  <si>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</si>
  <si>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</si>
  <si>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</si>
  <si>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</si>
  <si>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</si>
  <si>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</si>
  <si>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</si>
  <si>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</si>
  <si>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</si>
  <si>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</si>
  <si>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</si>
  <si>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</si>
  <si>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</si>
  <si>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</si>
  <si>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</si>
  <si>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</si>
  <si>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</si>
  <si>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</si>
  <si>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</si>
  <si>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</si>
  <si>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</si>
  <si>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</si>
  <si>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</si>
  <si>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</si>
  <si>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</si>
  <si>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</si>
  <si>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</si>
  <si>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</si>
  <si>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</si>
  <si>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</si>
  <si>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</si>
  <si>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</si>
  <si>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</si>
  <si>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</si>
  <si>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</si>
  <si>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</si>
  <si>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</si>
  <si>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</si>
  <si>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</si>
  <si>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</si>
  <si>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</si>
  <si>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</si>
  <si>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</si>
  <si>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</si>
  <si>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</si>
  <si>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</si>
  <si>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</si>
  <si>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</si>
  <si>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</si>
  <si>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</si>
  <si>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</si>
  <si>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</si>
  <si>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</si>
  <si>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</si>
  <si>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</si>
  <si>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</si>
  <si>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</si>
  <si>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</si>
  <si>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</si>
  <si>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</si>
  <si>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</si>
  <si>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</si>
  <si>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</si>
  <si>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</si>
  <si>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</si>
  <si>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</si>
  <si>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</si>
  <si>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</si>
  <si>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</si>
  <si>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</si>
  <si>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</si>
  <si>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</si>
  <si>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</si>
  <si>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</si>
  <si>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</si>
  <si>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</si>
  <si>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</si>
  <si>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</si>
  <si>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</si>
  <si>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</si>
  <si>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</si>
  <si>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</si>
  <si>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</si>
  <si>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</si>
  <si>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</si>
  <si>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</si>
  <si>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</si>
  <si>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</si>
  <si>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</si>
  <si>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</si>
  <si>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</si>
  <si>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</si>
  <si>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</si>
  <si>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</si>
  <si>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</si>
  <si>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</si>
  <si>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</si>
  <si>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</si>
  <si>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</si>
  <si>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</si>
  <si>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</si>
  <si>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</si>
  <si>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</si>
  <si>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</si>
  <si>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</si>
  <si>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</si>
  <si>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</si>
  <si>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</si>
  <si>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</si>
  <si>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</si>
  <si>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</si>
  <si>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</si>
  <si>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</si>
  <si>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</si>
  <si>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</si>
  <si>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</si>
  <si>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</si>
  <si>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</si>
  <si>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</si>
  <si>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</si>
  <si>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</si>
  <si>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</si>
  <si>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</si>
  <si>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</si>
  <si>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</si>
  <si>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</si>
  <si>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</si>
  <si>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</si>
  <si>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</si>
  <si>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</si>
  <si>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</si>
  <si>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</si>
  <si>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</si>
  <si>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</si>
  <si>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</si>
  <si>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</si>
  <si>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</si>
  <si>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</si>
  <si>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</si>
  <si>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</si>
  <si>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</si>
  <si>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</si>
  <si>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</si>
  <si>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</si>
  <si>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</si>
  <si>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</si>
  <si>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</si>
  <si>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</si>
  <si>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</si>
  <si>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</si>
  <si>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</si>
  <si>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</si>
  <si>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</si>
  <si>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</si>
  <si>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</si>
  <si>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</si>
  <si>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</si>
  <si>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</si>
  <si>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</si>
  <si>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</si>
  <si>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</si>
  <si>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</si>
  <si>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</si>
  <si>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</si>
  <si>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</si>
  <si>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</si>
  <si>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</si>
  <si>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</si>
  <si>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</si>
  <si>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</si>
  <si>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</si>
  <si>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</si>
  <si>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</si>
  <si>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</si>
  <si>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</si>
  <si>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</si>
  <si>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</si>
  <si>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</si>
  <si>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</si>
  <si>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</si>
  <si>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</si>
  <si>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</si>
  <si>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</si>
  <si>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</si>
  <si>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</si>
  <si>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</si>
  <si>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</si>
  <si>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</si>
  <si>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</si>
  <si>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</si>
  <si>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</si>
  <si>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</si>
  <si>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</si>
  <si>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</si>
  <si>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</si>
  <si>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</si>
  <si>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</si>
  <si>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</si>
  <si>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</si>
  <si>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</si>
  <si>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</si>
  <si>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</si>
  <si>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</si>
  <si>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</si>
  <si>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</si>
  <si>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</si>
  <si>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</si>
  <si>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</si>
  <si>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</si>
  <si>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</si>
  <si>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</si>
  <si>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</si>
  <si>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</si>
  <si>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</si>
  <si>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</si>
  <si>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</si>
  <si>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</si>
  <si>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</si>
  <si>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</si>
  <si>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</si>
  <si>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</si>
  <si>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</si>
  <si>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</si>
  <si>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</si>
  <si>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</si>
  <si>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</si>
  <si>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</si>
  <si>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</si>
  <si>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</si>
  <si>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</si>
  <si>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</si>
  <si>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</si>
  <si>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</si>
  <si>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</si>
  <si>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</si>
  <si>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</si>
  <si>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</si>
  <si>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</si>
  <si>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</si>
  <si>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</si>
  <si>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</si>
  <si>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</si>
  <si>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</si>
  <si>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</si>
  <si>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</si>
  <si>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</si>
  <si>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</si>
  <si>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</si>
  <si>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</si>
  <si>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</si>
  <si>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</si>
  <si>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</si>
  <si>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</si>
  <si>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</si>
  <si>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</si>
  <si>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</si>
  <si>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</si>
  <si>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</si>
  <si>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</si>
  <si>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</si>
  <si>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</si>
  <si>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</si>
  <si>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</si>
  <si>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</si>
  <si>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</si>
  <si>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</si>
  <si>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</si>
  <si>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</si>
  <si>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</si>
  <si>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</si>
  <si>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</si>
  <si>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</si>
  <si>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</si>
  <si>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</si>
  <si>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</si>
  <si>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</si>
  <si>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</si>
  <si>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</si>
  <si>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</si>
  <si>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</si>
  <si>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</si>
  <si>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</si>
  <si>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</si>
  <si>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</si>
  <si>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</si>
  <si>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</si>
  <si>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</si>
  <si>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</si>
  <si>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</si>
  <si>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</si>
  <si>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</si>
  <si>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</si>
  <si>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</si>
  <si>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</si>
  <si>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</si>
  <si>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</si>
  <si>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</si>
  <si>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</si>
  <si>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</si>
  <si>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</si>
  <si>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</si>
  <si>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</si>
  <si>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</si>
  <si>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</si>
  <si>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</si>
  <si>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</si>
  <si>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</si>
  <si>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</si>
  <si>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</si>
  <si>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</si>
  <si>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</si>
  <si>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</si>
  <si>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</si>
  <si>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</si>
  <si>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</si>
  <si>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</si>
  <si>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</si>
  <si>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</si>
  <si>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</si>
  <si>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</si>
  <si>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</si>
  <si>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</si>
  <si>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</si>
  <si>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</si>
  <si>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</si>
  <si>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</si>
  <si>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</si>
  <si>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</si>
  <si>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</si>
  <si>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</si>
  <si>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</si>
  <si>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</si>
  <si>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</si>
  <si>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</si>
  <si>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</si>
  <si>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</si>
  <si>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</si>
  <si>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</si>
  <si>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</si>
  <si>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</si>
  <si>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</si>
  <si>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</si>
  <si>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</si>
  <si>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</si>
  <si>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</si>
  <si>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</si>
  <si>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</si>
  <si>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</si>
  <si>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</si>
  <si>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</si>
  <si>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</si>
  <si>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</si>
  <si>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</si>
  <si>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</si>
  <si>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</si>
  <si>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</si>
  <si>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</si>
  <si>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</si>
  <si>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</si>
  <si>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</si>
  <si>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</si>
  <si>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</si>
  <si>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</si>
  <si>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</si>
  <si>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</si>
  <si>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</si>
  <si>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</si>
  <si>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</si>
  <si>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</si>
  <si>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</si>
  <si>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</si>
  <si>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</si>
  <si>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</si>
  <si>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</si>
  <si>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</si>
  <si>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</si>
  <si>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</si>
  <si>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</si>
  <si>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</si>
  <si>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</si>
  <si>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</si>
  <si>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</si>
  <si>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</si>
  <si>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</si>
  <si>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</si>
  <si>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</si>
  <si>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</si>
  <si>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</si>
  <si>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</si>
  <si>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</si>
  <si>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</si>
  <si>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</si>
  <si>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</si>
  <si>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</si>
  <si>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</si>
  <si>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</si>
  <si>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</si>
  <si>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</si>
  <si>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</si>
  <si>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</si>
  <si>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</si>
  <si>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</si>
  <si>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</si>
  <si>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</si>
  <si>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</si>
  <si>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</si>
  <si>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</si>
  <si>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</si>
  <si>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</si>
  <si>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</si>
  <si>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</si>
  <si>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</si>
  <si>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</si>
  <si>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</si>
  <si>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</si>
  <si>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</si>
  <si>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</si>
  <si>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</si>
  <si>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</si>
  <si>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</si>
  <si>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</si>
  <si>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</si>
  <si>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</si>
  <si>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</si>
  <si>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</si>
  <si>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</si>
  <si>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</si>
  <si>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</si>
  <si>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</si>
  <si>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</si>
  <si>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</si>
  <si>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</si>
  <si>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</si>
  <si>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</si>
  <si>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</si>
  <si>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</si>
  <si>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</si>
  <si>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</si>
  <si>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</si>
  <si>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</si>
  <si>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</si>
  <si>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</si>
  <si>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</si>
  <si>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</si>
  <si>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</si>
  <si>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</si>
  <si>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</si>
  <si>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</si>
  <si>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</si>
  <si>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</si>
  <si>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</si>
  <si>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</si>
  <si>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</si>
  <si>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</si>
  <si>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</si>
  <si>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</si>
  <si>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</si>
  <si>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</si>
  <si>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</si>
  <si>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</si>
  <si>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</si>
  <si>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</si>
  <si>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</si>
  <si>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</si>
  <si>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</si>
  <si>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</si>
  <si>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</si>
  <si>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</si>
  <si>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</si>
  <si>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</si>
  <si>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</si>
  <si>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</si>
  <si>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</si>
  <si>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</si>
  <si>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</si>
  <si>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</si>
  <si>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</si>
  <si>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</si>
  <si>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</si>
  <si>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</si>
  <si>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</si>
  <si>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</si>
  <si>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</si>
  <si>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</si>
  <si>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</si>
  <si>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</si>
  <si>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</si>
  <si>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</si>
  <si>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</si>
  <si>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</si>
  <si>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</si>
  <si>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</si>
  <si>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</si>
  <si>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</si>
  <si>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</si>
  <si>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</si>
  <si>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</si>
  <si>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</si>
  <si>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</si>
  <si>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</si>
  <si>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</si>
  <si>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</si>
  <si>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</si>
  <si>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</si>
  <si>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</si>
  <si>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</si>
  <si>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</si>
  <si>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</si>
  <si>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</si>
  <si>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</si>
  <si>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</si>
  <si>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</si>
  <si>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</si>
  <si>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</si>
  <si>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</si>
  <si>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</si>
  <si>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</si>
  <si>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</si>
  <si>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</si>
  <si>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</si>
  <si>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</si>
  <si>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</si>
  <si>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</si>
  <si>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</si>
  <si>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</si>
  <si>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</si>
  <si>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</si>
  <si>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</si>
  <si>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</si>
  <si>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</si>
  <si>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</si>
  <si>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</si>
  <si>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</si>
  <si>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</si>
  <si>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</si>
  <si>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</si>
  <si>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</si>
  <si>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</si>
  <si>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</si>
  <si>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</si>
  <si>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</si>
  <si>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</si>
  <si>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</si>
  <si>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</si>
  <si>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</si>
  <si>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</si>
  <si>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</si>
  <si>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</si>
  <si>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</si>
  <si>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</si>
  <si>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</si>
  <si>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</si>
  <si>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</si>
  <si>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</si>
  <si>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</si>
  <si>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</si>
  <si>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</si>
  <si>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</si>
  <si>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</si>
  <si>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</si>
  <si>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</si>
  <si>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</si>
  <si>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</si>
  <si>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</si>
  <si>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</si>
  <si>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</si>
  <si>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</si>
  <si>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</si>
  <si>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</si>
  <si>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</si>
  <si>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</si>
  <si>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</si>
  <si>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</si>
  <si>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</si>
  <si>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</si>
  <si>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</si>
  <si>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</si>
  <si>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</si>
  <si>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</si>
  <si>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</si>
  <si>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</si>
  <si>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</si>
  <si>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</si>
  <si>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</si>
  <si>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</si>
  <si>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</si>
  <si>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</si>
  <si>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</si>
  <si>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</si>
  <si>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</si>
  <si>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</si>
  <si>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</si>
  <si>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</si>
  <si>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</si>
  <si>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</si>
  <si>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</si>
  <si>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</si>
  <si>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</si>
  <si>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</si>
  <si>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</si>
  <si>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</si>
  <si>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</si>
  <si>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</si>
  <si>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</si>
  <si>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</si>
  <si>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</si>
  <si>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</si>
  <si>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</si>
  <si>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</si>
  <si>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</si>
  <si>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</si>
  <si>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</si>
  <si>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</si>
  <si>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</si>
  <si>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</si>
  <si>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</si>
  <si>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</si>
  <si>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</si>
  <si>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</si>
  <si>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</si>
  <si>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</si>
  <si>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</si>
  <si>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</si>
  <si>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</si>
  <si>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</si>
  <si>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</si>
  <si>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</si>
  <si>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</si>
  <si>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</si>
  <si>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</si>
  <si>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</si>
  <si>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</si>
  <si>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</si>
  <si>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</si>
  <si>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</si>
  <si>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</si>
  <si>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</si>
  <si>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</si>
  <si>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</si>
  <si>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</si>
  <si>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</si>
  <si>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</si>
  <si>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</si>
  <si>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</si>
  <si>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</si>
  <si>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</si>
  <si>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</si>
  <si>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</si>
  <si>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</si>
  <si>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</si>
  <si>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</si>
  <si>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</si>
  <si>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</si>
  <si>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</si>
  <si>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</si>
  <si>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</si>
  <si>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</si>
  <si>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</si>
  <si>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</si>
  <si>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</si>
  <si>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</si>
  <si>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</si>
  <si>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</si>
  <si>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</si>
  <si>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</si>
  <si>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</si>
  <si>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</si>
  <si>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</si>
  <si>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</si>
  <si>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</si>
  <si>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</si>
  <si>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</si>
  <si>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</si>
  <si>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</si>
  <si>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</si>
  <si>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</si>
  <si>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</si>
  <si>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</si>
  <si>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</si>
  <si>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</si>
  <si>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</si>
  <si>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</si>
  <si>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</si>
  <si>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</si>
  <si>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</si>
  <si>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</si>
  <si>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</si>
  <si>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</si>
  <si>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</si>
  <si>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</si>
  <si>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</si>
  <si>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</si>
  <si>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</si>
  <si>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</si>
  <si>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</si>
  <si>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</si>
  <si>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</si>
  <si>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</si>
  <si>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</si>
  <si>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</si>
  <si>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</si>
  <si>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</si>
  <si>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</si>
  <si>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</si>
  <si>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</si>
  <si>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</si>
  <si>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</si>
  <si>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</si>
  <si>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</si>
  <si>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</si>
  <si>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</si>
  <si>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</si>
  <si>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</si>
  <si>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</si>
  <si>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</si>
  <si>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</si>
  <si>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</si>
  <si>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</si>
  <si>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</si>
  <si>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</si>
  <si>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</si>
  <si>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</si>
  <si>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</si>
  <si>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</si>
  <si>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</si>
  <si>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</si>
  <si>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</si>
  <si>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</si>
  <si>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</si>
  <si>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</si>
  <si>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</si>
  <si>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</si>
  <si>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</si>
  <si>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</si>
  <si>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</si>
  <si>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</si>
  <si>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</si>
  <si>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</si>
  <si>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</si>
  <si>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</si>
  <si>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</si>
  <si>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</si>
  <si>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</si>
  <si>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</si>
  <si>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</si>
  <si>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</si>
  <si>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</si>
  <si>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</si>
  <si>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</si>
  <si>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</si>
  <si>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</si>
  <si>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</si>
  <si>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</si>
  <si>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</si>
  <si>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</si>
  <si>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</si>
  <si>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</si>
  <si>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</si>
  <si>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</si>
  <si>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</si>
  <si>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</si>
  <si>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</si>
  <si>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</si>
  <si>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</si>
  <si>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</si>
  <si>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</si>
  <si>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</si>
  <si>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</si>
  <si>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</si>
  <si>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</si>
  <si>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</si>
  <si>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</si>
  <si>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</si>
  <si>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</si>
  <si>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</si>
  <si>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</si>
  <si>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</si>
  <si>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</si>
  <si>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</si>
  <si>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</si>
  <si>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</si>
  <si>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</si>
  <si>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</si>
  <si>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</si>
  <si>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</si>
  <si>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</si>
  <si>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</si>
  <si>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</si>
  <si>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</si>
  <si>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</si>
  <si>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</si>
  <si>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</si>
  <si>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</si>
  <si>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</si>
  <si>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</si>
  <si>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</si>
  <si>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</si>
  <si>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</si>
  <si>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</si>
  <si>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</si>
  <si>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</si>
  <si>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</si>
  <si>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</si>
  <si>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</si>
  <si>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</si>
  <si>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</si>
  <si>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</si>
  <si>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</si>
  <si>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</si>
  <si>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</si>
  <si>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</si>
  <si>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</si>
  <si>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</si>
  <si>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</si>
  <si>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</si>
  <si>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</si>
  <si>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</si>
  <si>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</si>
  <si>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</si>
  <si>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</si>
  <si>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</si>
  <si>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</si>
  <si>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</si>
  <si>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</si>
  <si>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</si>
  <si>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</si>
  <si>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</si>
  <si>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</si>
  <si>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</si>
  <si>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</si>
  <si>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</si>
  <si>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</si>
  <si>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</si>
  <si>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</si>
  <si>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</si>
  <si>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</si>
  <si>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</si>
  <si>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</si>
  <si>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</si>
  <si>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</si>
  <si>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</si>
  <si>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</si>
  <si>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</si>
  <si>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</si>
  <si>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</si>
  <si>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</si>
  <si>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</si>
  <si>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</si>
  <si>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</si>
  <si>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</si>
  <si>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</si>
  <si>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</si>
  <si>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</si>
  <si>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</si>
  <si>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</si>
  <si>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</si>
  <si>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</si>
  <si>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</si>
  <si>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</si>
  <si>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</si>
  <si>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</si>
  <si>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</si>
  <si>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</si>
  <si>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</si>
  <si>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</si>
  <si>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</si>
  <si>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</si>
  <si>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</si>
  <si>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</si>
  <si>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</si>
  <si>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</si>
  <si>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</si>
  <si>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</si>
  <si>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</si>
  <si>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</si>
  <si>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</si>
  <si>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</si>
  <si>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</si>
  <si>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</si>
  <si>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</si>
  <si>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</si>
  <si>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</si>
  <si>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</si>
  <si>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</si>
  <si>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</si>
  <si>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</si>
  <si>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</si>
  <si>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</si>
  <si>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</si>
  <si>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</si>
  <si>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</si>
  <si>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</si>
  <si>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</si>
  <si>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</si>
  <si>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</si>
  <si>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</si>
  <si>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</si>
  <si>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</si>
  <si>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</si>
  <si>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</si>
  <si>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</si>
  <si>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</si>
  <si>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</si>
  <si>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</si>
  <si>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</si>
  <si>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</si>
  <si>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</si>
  <si>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</si>
  <si>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</si>
  <si>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</si>
  <si>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</si>
  <si>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</si>
  <si>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</si>
  <si>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</si>
  <si>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</si>
  <si>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</si>
  <si>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</si>
  <si>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</si>
  <si>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</si>
  <si>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</si>
  <si>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</si>
  <si>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</si>
  <si>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</si>
  <si>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</si>
  <si>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</si>
  <si>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</si>
  <si>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</si>
  <si>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</si>
  <si>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</si>
  <si>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</si>
  <si>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</si>
  <si>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</si>
  <si>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</si>
  <si>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</si>
  <si>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</si>
  <si>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</si>
  <si>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</si>
  <si>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</si>
  <si>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</si>
  <si>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</si>
  <si>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</si>
  <si>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</si>
  <si>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</si>
  <si>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</si>
  <si>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</si>
  <si>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</si>
  <si>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</si>
  <si>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</si>
  <si>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</si>
  <si>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</si>
  <si>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</si>
  <si>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</si>
  <si>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</si>
  <si>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</si>
  <si>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</si>
  <si>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</si>
  <si>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</si>
  <si>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</si>
  <si>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</si>
  <si>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</si>
  <si>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</si>
  <si>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</si>
  <si>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</si>
  <si>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</si>
  <si>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</si>
  <si>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</si>
  <si>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</si>
  <si>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</si>
  <si>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</si>
  <si>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</si>
  <si>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</si>
  <si>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</si>
  <si>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</si>
  <si>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</si>
  <si>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</si>
  <si>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</si>
  <si>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</si>
  <si>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</si>
  <si>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</si>
  <si>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</si>
  <si>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</si>
  <si>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</si>
  <si>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</si>
  <si>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</si>
  <si>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</si>
  <si>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</si>
  <si>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</si>
  <si>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</si>
  <si>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</si>
  <si>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</si>
  <si>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</si>
  <si>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</si>
  <si>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</si>
  <si>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</si>
  <si>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</si>
  <si>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</si>
  <si>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</si>
  <si>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</si>
  <si>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</si>
  <si>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</si>
  <si>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</si>
  <si>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</si>
  <si>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</si>
  <si>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</si>
  <si>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</si>
  <si>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</si>
  <si>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</si>
  <si>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</si>
  <si>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</si>
  <si>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</si>
  <si>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</si>
  <si>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</si>
  <si>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</si>
  <si>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</si>
  <si>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</si>
  <si>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</si>
  <si>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</si>
  <si>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</si>
  <si>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</si>
  <si>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</si>
  <si>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</si>
  <si>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</si>
  <si>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</si>
  <si>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</si>
  <si>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</si>
  <si>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</si>
  <si>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</si>
  <si>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</si>
  <si>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</si>
  <si>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</si>
  <si>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</si>
  <si>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</si>
  <si>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</si>
  <si>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</si>
  <si>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</si>
  <si>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</si>
  <si>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</si>
  <si>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</si>
  <si>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</si>
  <si>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</si>
  <si>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</si>
  <si>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</si>
  <si>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</si>
  <si>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</si>
  <si>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</si>
  <si>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</si>
  <si>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</si>
  <si>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</si>
  <si>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</si>
  <si>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</si>
  <si>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</si>
  <si>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</si>
  <si>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</si>
  <si>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</si>
  <si>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</si>
  <si>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</si>
  <si>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</si>
  <si>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</si>
  <si>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</si>
  <si>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</si>
  <si>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</si>
  <si>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</si>
  <si>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</si>
  <si>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</si>
  <si>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</si>
  <si>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</si>
  <si>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</si>
  <si>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</si>
  <si>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</si>
  <si>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</si>
  <si>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</si>
  <si>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</si>
  <si>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</si>
  <si>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</si>
  <si>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</si>
  <si>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</si>
  <si>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</si>
  <si>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</si>
  <si>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</si>
  <si>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</si>
  <si>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</si>
  <si>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</si>
  <si>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</si>
  <si>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</si>
  <si>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</si>
  <si>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</si>
  <si>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</si>
  <si>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</si>
  <si>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</si>
  <si>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</si>
  <si>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</si>
  <si>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</si>
  <si>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</si>
  <si>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</si>
  <si>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</si>
  <si>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</si>
  <si>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</si>
  <si>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</si>
  <si>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</si>
  <si>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</si>
  <si>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</si>
  <si>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</si>
  <si>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</si>
  <si>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</si>
  <si>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</si>
  <si>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</si>
  <si>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</si>
  <si>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</si>
  <si>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</si>
  <si>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</si>
  <si>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</si>
  <si>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</si>
  <si>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</si>
  <si>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</si>
  <si>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</si>
  <si>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</si>
  <si>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</si>
  <si>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</si>
  <si>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</si>
  <si>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</si>
  <si>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</si>
  <si>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</si>
  <si>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</si>
  <si>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</si>
  <si>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</si>
  <si>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</si>
  <si>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</si>
  <si>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</si>
  <si>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</si>
  <si>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</si>
  <si>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</si>
  <si>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</si>
  <si>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</si>
  <si>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</si>
  <si>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</si>
  <si>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</si>
  <si>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</si>
  <si>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</si>
  <si>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</si>
  <si>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</si>
  <si>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</si>
  <si>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</si>
  <si>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</si>
  <si>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</si>
  <si>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</si>
  <si>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</si>
  <si>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</si>
  <si>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</si>
  <si>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</si>
  <si>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</si>
  <si>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</si>
  <si>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</si>
  <si>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</si>
  <si>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</si>
  <si>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</si>
  <si>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</si>
  <si>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</si>
  <si>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</si>
  <si>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</si>
  <si>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</si>
  <si>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</si>
  <si>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</si>
  <si>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</si>
  <si>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</si>
  <si>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</si>
  <si>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</si>
  <si>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</si>
  <si>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</si>
  <si>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</si>
  <si>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</si>
  <si>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</si>
  <si>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</si>
  <si>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</si>
  <si>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</si>
  <si>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</si>
  <si>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</si>
  <si>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</si>
  <si>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</si>
  <si>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</si>
  <si>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</si>
  <si>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</si>
  <si>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</si>
  <si>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</si>
  <si>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</si>
  <si>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</si>
  <si>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</si>
  <si>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</si>
  <si>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</si>
  <si>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</si>
  <si>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</si>
  <si>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</si>
  <si>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</si>
  <si>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</si>
  <si>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</si>
  <si>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</si>
  <si>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</si>
  <si>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</si>
  <si>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</si>
  <si>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</si>
  <si>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</si>
  <si>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</si>
  <si>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</si>
  <si>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</si>
  <si>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</si>
  <si>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</si>
  <si>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</si>
  <si>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</si>
  <si>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</si>
  <si>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</si>
  <si>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</si>
  <si>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</si>
  <si>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</si>
  <si>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</si>
  <si>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</si>
  <si>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</si>
  <si>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</si>
  <si>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</si>
  <si>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</si>
  <si>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</si>
  <si>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</si>
  <si>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</si>
  <si>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</si>
  <si>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</si>
  <si>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</si>
  <si>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</si>
  <si>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</si>
  <si>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</si>
  <si>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</si>
  <si>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</si>
  <si>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</si>
  <si>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</si>
  <si>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</si>
  <si>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</si>
  <si>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</si>
  <si>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</si>
  <si>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</si>
  <si>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</si>
  <si>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</si>
  <si>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</si>
  <si>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</si>
  <si>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</si>
  <si>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</si>
  <si>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</si>
  <si>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</si>
  <si>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</si>
  <si>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</si>
  <si>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</si>
  <si>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</si>
  <si>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</si>
  <si>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</si>
  <si>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</si>
  <si>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</si>
  <si>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</si>
  <si>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</si>
  <si>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</si>
  <si>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</si>
  <si>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</si>
  <si>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</si>
  <si>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</si>
  <si>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</si>
  <si>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</si>
  <si>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</si>
  <si>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</si>
  <si>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</si>
  <si>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</si>
  <si>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</si>
  <si>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</si>
  <si>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</si>
  <si>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</si>
  <si>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</si>
  <si>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</si>
  <si>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</si>
  <si>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</si>
  <si>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</si>
  <si>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</si>
  <si>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</si>
  <si>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</si>
  <si>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</si>
  <si>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</si>
  <si>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</si>
  <si>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</si>
  <si>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</si>
  <si>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</si>
  <si>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</si>
  <si>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</si>
  <si>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</si>
  <si>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</si>
  <si>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</si>
  <si>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</si>
  <si>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</si>
  <si>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</si>
  <si>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</si>
  <si>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</si>
  <si>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</si>
  <si>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</si>
  <si>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</si>
  <si>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</si>
  <si>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</si>
  <si>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</si>
  <si>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</si>
  <si>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</si>
  <si>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</si>
  <si>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</si>
  <si>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</si>
  <si>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</si>
  <si>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</si>
  <si>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</si>
  <si>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</si>
  <si>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</si>
  <si>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</si>
  <si>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</si>
  <si>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</si>
  <si>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</si>
  <si>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</si>
  <si>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</si>
  <si>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</si>
  <si>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</si>
  <si>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</si>
  <si>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</si>
  <si>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</si>
  <si>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</si>
  <si>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</si>
  <si>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</si>
  <si>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</si>
  <si>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</si>
  <si>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</si>
  <si>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</si>
  <si>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</si>
  <si>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</si>
  <si>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</si>
  <si>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</si>
  <si>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</si>
  <si>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</si>
  <si>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</si>
  <si>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</si>
  <si>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</si>
  <si>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</si>
  <si>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</si>
  <si>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</si>
  <si>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</si>
  <si>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</si>
  <si>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</si>
  <si>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</si>
  <si>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</si>
  <si>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</si>
  <si>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</si>
  <si>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</si>
  <si>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</si>
  <si>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</si>
  <si>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</si>
  <si>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</si>
  <si>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</si>
  <si>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</si>
  <si>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</si>
  <si>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</si>
  <si>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</si>
  <si>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</si>
  <si>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</si>
  <si>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</si>
  <si>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</si>
  <si>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</si>
  <si>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</si>
  <si>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</si>
  <si>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</si>
  <si>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</si>
  <si>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</si>
  <si>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</si>
  <si>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</si>
  <si>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</si>
  <si>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</si>
  <si>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</si>
  <si>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</si>
  <si>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</si>
  <si>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</si>
  <si>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</si>
  <si>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</si>
  <si>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</si>
  <si>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</si>
  <si>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</si>
  <si>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</si>
  <si>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</si>
  <si>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</si>
  <si>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</si>
  <si>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</si>
  <si>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</si>
  <si>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</si>
  <si>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</si>
  <si>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</si>
  <si>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</si>
  <si>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</si>
  <si>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</si>
  <si>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</si>
  <si>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</si>
  <si>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</si>
  <si>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</si>
  <si>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</si>
  <si>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</si>
  <si>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</si>
  <si>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</si>
  <si>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</si>
  <si>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</si>
  <si>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</si>
  <si>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</si>
  <si>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</si>
  <si>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</si>
  <si>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</si>
  <si>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</si>
  <si>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</si>
  <si>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</si>
  <si>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</si>
  <si>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</si>
  <si>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</si>
  <si>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</si>
  <si>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</si>
  <si>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</si>
  <si>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</si>
  <si>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</si>
  <si>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</si>
  <si>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</si>
  <si>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</si>
  <si>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</si>
  <si>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</si>
  <si>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</si>
  <si>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</si>
  <si>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</si>
  <si>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</si>
  <si>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</si>
  <si>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</si>
  <si>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</si>
  <si>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</si>
  <si>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</si>
  <si>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</si>
  <si>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</si>
  <si>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</si>
  <si>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</si>
  <si>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</si>
  <si>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</si>
  <si>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</si>
  <si>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</si>
  <si>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</si>
  <si>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</si>
  <si>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</si>
  <si>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</si>
  <si>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</si>
  <si>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</si>
  <si>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</si>
  <si>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</si>
  <si>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</si>
  <si>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</si>
  <si>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</si>
  <si>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</si>
  <si>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</si>
  <si>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</si>
  <si>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</si>
  <si>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</si>
  <si>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</si>
  <si>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</si>
  <si>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</si>
  <si>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</si>
  <si>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</si>
  <si>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</si>
  <si>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</si>
  <si>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</si>
  <si>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</si>
  <si>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</si>
  <si>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</si>
  <si>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</si>
  <si>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</si>
  <si>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</si>
  <si>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</si>
  <si>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</si>
  <si>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</si>
  <si>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</si>
  <si>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</si>
  <si>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</si>
  <si>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</si>
  <si>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</si>
  <si>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</si>
  <si>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</si>
  <si>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</si>
  <si>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</si>
  <si>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</si>
  <si>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</si>
  <si>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</si>
  <si>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</si>
  <si>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</si>
  <si>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</si>
  <si>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</si>
  <si>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</si>
  <si>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</si>
  <si>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</si>
  <si>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</si>
  <si>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</si>
  <si>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</si>
  <si>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</si>
  <si>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</si>
  <si>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</si>
  <si>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</si>
  <si>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</si>
  <si>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</si>
  <si>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</si>
  <si>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</si>
  <si>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</si>
  <si>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</si>
  <si>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</si>
  <si>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</si>
  <si>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</si>
  <si>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</si>
  <si>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</si>
  <si>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</si>
  <si>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</si>
  <si>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</si>
  <si>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</si>
  <si>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</si>
  <si>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</si>
  <si>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</si>
  <si>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</si>
  <si>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</si>
  <si>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</si>
  <si>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</si>
  <si>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</si>
  <si>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</si>
  <si>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</si>
  <si>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</si>
  <si>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</si>
  <si>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</si>
  <si>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</si>
  <si>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</si>
  <si>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</si>
  <si>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</si>
  <si>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</si>
  <si>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</si>
  <si>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</si>
  <si>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</si>
  <si>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</si>
  <si>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</si>
  <si>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</si>
  <si>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</si>
  <si>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</si>
  <si>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</si>
  <si>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</si>
  <si>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</si>
  <si>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</si>
  <si>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</si>
  <si>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</si>
  <si>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</si>
  <si>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</si>
  <si>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</si>
  <si>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</si>
  <si>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</si>
  <si>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</si>
  <si>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</si>
  <si>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</si>
  <si>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</si>
  <si>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</si>
  <si>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</si>
  <si>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</si>
  <si>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</si>
  <si>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</si>
  <si>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</si>
  <si>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</si>
  <si>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</si>
  <si>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</si>
  <si>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</si>
  <si>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</si>
  <si>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</si>
  <si>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</si>
  <si>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</si>
  <si>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</si>
  <si>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</si>
  <si>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</si>
  <si>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</si>
  <si>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</si>
  <si>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</si>
  <si>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</si>
  <si>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</si>
  <si>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</si>
  <si>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</si>
  <si>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</si>
  <si>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</si>
  <si>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</si>
  <si>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</si>
  <si>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</si>
  <si>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</si>
  <si>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</si>
  <si>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</si>
  <si>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</si>
  <si>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</si>
  <si>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</si>
  <si>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</si>
  <si>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</si>
  <si>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</si>
  <si>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</si>
  <si>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</si>
  <si>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</si>
  <si>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</si>
  <si>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</si>
  <si>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</si>
  <si>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</si>
  <si>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</si>
  <si>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</si>
  <si>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</si>
  <si>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</si>
  <si>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</si>
  <si>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</si>
  <si>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</si>
  <si>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</si>
  <si>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</si>
  <si>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</si>
  <si>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</si>
  <si>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</si>
  <si>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</si>
  <si>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</si>
  <si>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</si>
  <si>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</si>
  <si>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</si>
  <si>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</si>
  <si>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</si>
  <si>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</si>
  <si>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</si>
  <si>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</si>
  <si>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</si>
  <si>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</si>
  <si>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</si>
  <si>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</si>
  <si>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</si>
  <si>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</si>
  <si>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</si>
  <si>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</si>
  <si>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</si>
  <si>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</si>
  <si>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</si>
  <si>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</si>
  <si>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</si>
  <si>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</si>
  <si>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</si>
  <si>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</si>
  <si>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</si>
  <si>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</si>
  <si>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</si>
  <si>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</si>
  <si>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</si>
  <si>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</si>
  <si>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</si>
  <si>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</si>
  <si>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</si>
  <si>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</si>
  <si>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</si>
  <si>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</si>
  <si>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</si>
  <si>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</si>
  <si>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</si>
  <si>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</si>
  <si>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</si>
  <si>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</si>
  <si>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</si>
  <si>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</si>
  <si>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</si>
  <si>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</si>
  <si>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</si>
  <si>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</si>
  <si>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</si>
  <si>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</si>
  <si>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</si>
  <si>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</si>
  <si>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</si>
  <si>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</si>
  <si>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</si>
  <si>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</si>
  <si>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</si>
  <si>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</si>
  <si>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</si>
  <si>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</si>
  <si>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</si>
  <si>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</si>
  <si>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</si>
  <si>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</si>
  <si>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</si>
  <si>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</si>
  <si>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</si>
  <si>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</si>
  <si>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</si>
  <si>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</si>
  <si>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</si>
  <si>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</si>
  <si>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</si>
  <si>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</si>
  <si>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</si>
  <si>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</si>
  <si>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</si>
  <si>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</si>
  <si>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</si>
  <si>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</si>
  <si>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</si>
  <si>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</si>
  <si>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</si>
  <si>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</si>
  <si>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</si>
  <si>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</si>
  <si>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</si>
  <si>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</si>
  <si>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</si>
  <si>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</si>
  <si>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</si>
  <si>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</si>
  <si>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</si>
  <si>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</si>
  <si>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</si>
  <si>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</si>
  <si>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</si>
  <si>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</si>
  <si>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</si>
  <si>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</si>
  <si>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</si>
  <si>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</si>
  <si>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</si>
  <si>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</si>
  <si>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</si>
  <si>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</si>
  <si>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</si>
  <si>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</si>
  <si>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</si>
  <si>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</si>
  <si>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</si>
  <si>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</si>
  <si>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</si>
  <si>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</si>
  <si>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</si>
  <si>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</si>
  <si>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</si>
  <si>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</si>
  <si>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</si>
  <si>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</si>
  <si>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</si>
  <si>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</si>
  <si>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</si>
  <si>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</si>
  <si>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</si>
  <si>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</si>
  <si>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</si>
  <si>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</si>
  <si>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</si>
  <si>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</si>
  <si>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</si>
  <si>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</si>
  <si>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</si>
  <si>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</si>
  <si>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</si>
  <si>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</si>
  <si>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</si>
  <si>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</si>
  <si>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</si>
  <si>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</si>
  <si>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</si>
  <si>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</si>
  <si>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</si>
  <si>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</si>
  <si>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</si>
  <si>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</si>
  <si>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</si>
  <si>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</si>
  <si>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</si>
  <si>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</si>
  <si>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</si>
  <si>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</si>
  <si>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</si>
  <si>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</si>
  <si>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</si>
  <si>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</si>
  <si>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</si>
  <si>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</si>
  <si>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</si>
  <si>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</si>
  <si>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</si>
  <si>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</si>
  <si>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</si>
  <si>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</si>
  <si>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</si>
  <si>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</si>
  <si>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</si>
  <si>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</si>
  <si>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</si>
  <si>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</si>
  <si>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</si>
  <si>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</si>
  <si>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</si>
  <si>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</si>
  <si>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</si>
  <si>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</si>
  <si>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</si>
  <si>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</si>
  <si>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</si>
  <si>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</si>
  <si>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</si>
  <si>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</si>
  <si>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</si>
  <si>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</si>
  <si>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</si>
  <si>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</si>
  <si>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</si>
  <si>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</si>
  <si>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</si>
  <si>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</si>
  <si>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</si>
  <si>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</si>
  <si>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</si>
  <si>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</si>
  <si>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</si>
  <si>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</si>
  <si>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</si>
  <si>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</si>
  <si>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</si>
  <si>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</si>
  <si>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</si>
  <si>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</si>
  <si>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</si>
  <si>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</si>
  <si>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</si>
  <si>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</si>
  <si>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</si>
  <si>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</si>
  <si>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</si>
  <si>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</si>
  <si>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</si>
  <si>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</si>
  <si>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</si>
  <si>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</si>
  <si>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</si>
  <si>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</si>
  <si>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</si>
  <si>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</si>
  <si>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</si>
  <si>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</si>
  <si>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</si>
  <si>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</si>
  <si>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</si>
  <si>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</si>
  <si>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</si>
  <si>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</si>
  <si>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</si>
  <si>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</si>
  <si>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</si>
  <si>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</si>
  <si>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</si>
  <si>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</si>
  <si>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</si>
  <si>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</si>
  <si>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</si>
  <si>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</si>
  <si>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</si>
  <si>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</si>
  <si>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</si>
  <si>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</si>
  <si>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</si>
  <si>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</si>
  <si>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</si>
  <si>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</si>
  <si>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</si>
  <si>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</si>
  <si>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</si>
  <si>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</si>
  <si>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</si>
  <si>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</si>
  <si>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</si>
  <si>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</si>
  <si>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</si>
  <si>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</si>
  <si>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</si>
  <si>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</si>
  <si>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</si>
  <si>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</si>
  <si>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</si>
  <si>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</si>
  <si>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</si>
  <si>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</si>
  <si>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</si>
  <si>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</si>
  <si>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</si>
  <si>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</si>
  <si>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</si>
  <si>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</si>
  <si>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</si>
  <si>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</si>
  <si>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</si>
  <si>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</si>
  <si>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</si>
  <si>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</si>
  <si>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</si>
  <si>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</si>
  <si>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</si>
  <si>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</si>
  <si>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</si>
  <si>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</si>
  <si>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</si>
  <si>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</si>
  <si>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</si>
  <si>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</si>
  <si>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</si>
  <si>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</si>
  <si>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</si>
  <si>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</si>
  <si>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</si>
  <si>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</si>
  <si>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</si>
  <si>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</si>
  <si>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</si>
  <si>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</si>
  <si>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</si>
  <si>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</si>
  <si>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</si>
  <si>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</si>
  <si>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</si>
  <si>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</si>
  <si>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</si>
  <si>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</si>
  <si>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</si>
  <si>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</si>
  <si>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</si>
  <si>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</si>
  <si>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</si>
  <si>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</si>
  <si>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</si>
  <si>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</si>
  <si>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</si>
  <si>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</si>
  <si>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</si>
  <si>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</si>
  <si>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</si>
  <si>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</si>
  <si>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</si>
  <si>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</si>
  <si>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</si>
  <si>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</si>
  <si>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</si>
  <si>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</si>
  <si>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</si>
  <si>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</si>
  <si>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</si>
  <si>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</si>
  <si>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</si>
  <si>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</si>
  <si>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</si>
  <si>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</si>
  <si>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</si>
  <si>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</si>
  <si>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</si>
  <si>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</si>
  <si>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</si>
  <si>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</si>
  <si>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</si>
  <si>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</si>
  <si>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</si>
  <si>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</si>
  <si>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</si>
  <si>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</si>
  <si>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</si>
  <si>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</si>
  <si>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</si>
  <si>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</si>
  <si>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</si>
  <si>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</si>
  <si>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</si>
  <si>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</si>
  <si>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</si>
  <si>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</si>
  <si>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</si>
  <si>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</si>
  <si>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</si>
  <si>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</si>
  <si>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</si>
  <si>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</si>
  <si>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</si>
  <si>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</si>
  <si>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</si>
  <si>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</si>
  <si>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</si>
  <si>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</si>
  <si>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</si>
  <si>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</si>
  <si>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</si>
  <si>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</si>
  <si>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</si>
  <si>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</si>
  <si>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</si>
  <si>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</si>
  <si>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</si>
  <si>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</si>
  <si>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</si>
  <si>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</si>
  <si>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</si>
  <si>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</si>
  <si>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</si>
  <si>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</si>
  <si>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</si>
  <si>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</si>
  <si>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</si>
  <si>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</si>
  <si>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</si>
  <si>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</si>
  <si>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</si>
  <si>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</si>
  <si>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</si>
  <si>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</si>
  <si>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</si>
  <si>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</si>
  <si>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</si>
  <si>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</si>
  <si>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</si>
  <si>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</si>
  <si>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</si>
  <si>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</si>
  <si>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</si>
  <si>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</si>
  <si>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</si>
  <si>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</si>
  <si>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</si>
  <si>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</si>
  <si>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</si>
  <si>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</si>
  <si>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</si>
  <si>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</si>
  <si>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</si>
  <si>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</si>
  <si>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</si>
  <si>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</si>
  <si>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</si>
  <si>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</si>
  <si>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</si>
  <si>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</si>
  <si>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</si>
  <si>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</si>
  <si>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</si>
  <si>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</si>
  <si>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</si>
  <si>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</si>
  <si>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</si>
  <si>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</si>
  <si>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</si>
  <si>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</si>
  <si>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</si>
  <si>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</si>
  <si>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</si>
  <si>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</si>
  <si>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</si>
  <si>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</si>
  <si>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</si>
  <si>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</si>
  <si>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</si>
  <si>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</si>
  <si>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</si>
  <si>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</si>
  <si>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</si>
  <si>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</si>
  <si>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</si>
  <si>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</si>
  <si>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</si>
  <si>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</si>
  <si>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</si>
  <si>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</si>
  <si>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</si>
  <si>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</si>
  <si>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</si>
  <si>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</si>
  <si>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</si>
  <si>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</si>
  <si>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</si>
  <si>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</si>
  <si>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</si>
  <si>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</si>
  <si>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</si>
  <si>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</si>
  <si>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</si>
  <si>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</si>
  <si>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</si>
  <si>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</si>
  <si>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</si>
  <si>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</si>
  <si>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</si>
  <si>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</si>
  <si>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</si>
  <si>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</si>
  <si>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</si>
  <si>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</si>
  <si>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</si>
  <si>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</si>
  <si>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</si>
  <si>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</si>
  <si>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</si>
  <si>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</si>
  <si>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</si>
  <si>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</si>
  <si>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</si>
  <si>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</si>
  <si>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</si>
  <si>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</si>
  <si>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</si>
  <si>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</si>
  <si>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</si>
  <si>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</si>
  <si>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</si>
  <si>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</si>
  <si>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</si>
  <si>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</si>
  <si>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</si>
  <si>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</si>
  <si>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</si>
  <si>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</si>
  <si>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</si>
  <si>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</si>
  <si>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</si>
  <si>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</si>
  <si>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</si>
  <si>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</si>
  <si>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</si>
  <si>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</si>
  <si>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</si>
  <si>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</si>
  <si>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</si>
  <si>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</si>
  <si>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</si>
  <si>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</si>
  <si>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</si>
  <si>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</si>
  <si>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</si>
  <si>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</si>
  <si>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</si>
  <si>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</si>
  <si>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</si>
  <si>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</si>
  <si>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</si>
  <si>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</si>
  <si>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</si>
  <si>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</si>
  <si>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</si>
  <si>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</si>
  <si>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</si>
  <si>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</si>
  <si>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</si>
  <si>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</si>
  <si>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</si>
  <si>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</si>
  <si>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</si>
  <si>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</si>
  <si>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</si>
  <si>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</si>
  <si>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</si>
  <si>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</si>
  <si>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</si>
  <si>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</si>
  <si>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</si>
  <si>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</si>
  <si>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</si>
  <si>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</si>
  <si>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</si>
  <si>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</si>
  <si>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</si>
  <si>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</si>
  <si>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</si>
  <si>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</si>
  <si>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</si>
  <si>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</si>
  <si>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</si>
  <si>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</si>
  <si>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</si>
  <si>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</si>
  <si>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</si>
  <si>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</si>
  <si>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</si>
  <si>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</si>
  <si>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</si>
  <si>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</si>
  <si>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</si>
  <si>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</si>
  <si>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</si>
  <si>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</si>
  <si>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</si>
  <si>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</si>
  <si>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</si>
  <si>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</si>
  <si>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</si>
  <si>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</si>
  <si>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</si>
  <si>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</si>
  <si>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</si>
  <si>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</si>
  <si>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</si>
  <si>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</si>
  <si>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</si>
  <si>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</si>
  <si>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</si>
  <si>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</si>
  <si>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</si>
  <si>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</si>
  <si>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</si>
  <si>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</si>
  <si>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</si>
  <si>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</si>
  <si>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</si>
  <si>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</si>
  <si>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</si>
  <si>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</si>
  <si>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</si>
  <si>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</si>
  <si>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</si>
  <si>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</si>
  <si>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</si>
  <si>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</si>
  <si>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</si>
  <si>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</si>
  <si>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</si>
  <si>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</si>
  <si>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</si>
  <si>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</si>
  <si>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</si>
  <si>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</si>
  <si>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</si>
  <si>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</si>
  <si>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</si>
  <si>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</si>
  <si>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</si>
  <si>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</si>
  <si>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</si>
  <si>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</si>
  <si>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</si>
  <si>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</si>
  <si>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</si>
  <si>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</si>
  <si>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</si>
  <si>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</si>
  <si>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</si>
  <si>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</si>
  <si>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</si>
  <si>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</si>
  <si>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</si>
  <si>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</si>
  <si>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</si>
  <si>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</si>
  <si>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</si>
  <si>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</si>
  <si>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</si>
  <si>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</si>
  <si>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</si>
  <si>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</si>
  <si>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</si>
  <si>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</si>
  <si>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</si>
  <si>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</si>
  <si>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</si>
  <si>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</si>
  <si>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</si>
  <si>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</si>
  <si>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</si>
  <si>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</si>
  <si>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</si>
  <si>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</si>
  <si>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</si>
  <si>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</si>
  <si>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</si>
  <si>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</si>
  <si>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</si>
  <si>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</si>
  <si>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</si>
  <si>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</si>
  <si>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</si>
  <si>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</si>
  <si>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</si>
  <si>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</si>
  <si>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</si>
  <si>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</si>
  <si>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</si>
  <si>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</si>
  <si>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</si>
  <si>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</si>
  <si>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</si>
  <si>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</si>
  <si>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</si>
  <si>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</si>
  <si>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</si>
  <si>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</si>
  <si>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</si>
  <si>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</si>
  <si>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</si>
  <si>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</si>
  <si>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</si>
  <si>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</si>
  <si>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</si>
  <si>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</si>
  <si>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</si>
  <si>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</si>
  <si>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</si>
  <si>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</si>
  <si>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</si>
  <si>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</si>
  <si>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</si>
  <si>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</si>
  <si>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</si>
  <si>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</si>
  <si>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</si>
  <si>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</si>
  <si>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</si>
  <si>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</si>
  <si>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</si>
  <si>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</si>
  <si>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</si>
  <si>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</si>
  <si>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</si>
  <si>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</si>
  <si>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</si>
  <si>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</si>
  <si>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</si>
  <si>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</si>
  <si>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</si>
  <si>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</si>
  <si>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</si>
  <si>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</si>
  <si>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</si>
  <si>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</si>
  <si>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</si>
  <si>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</si>
  <si>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</si>
  <si>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</si>
  <si>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</si>
  <si>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</si>
  <si>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</si>
  <si>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</si>
  <si>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</si>
  <si>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</si>
  <si>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</si>
  <si>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</si>
  <si>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</si>
  <si>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</si>
  <si>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</si>
  <si>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</si>
  <si>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</si>
  <si>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</si>
  <si>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</si>
  <si>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</si>
  <si>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</si>
  <si>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</si>
  <si>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</si>
  <si>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</si>
  <si>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</si>
  <si>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</si>
  <si>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</si>
  <si>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</si>
  <si>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</si>
  <si>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</si>
  <si>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</si>
  <si>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</si>
  <si>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</si>
  <si>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</si>
  <si>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</si>
  <si>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</si>
  <si>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</si>
  <si>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</si>
  <si>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</si>
  <si>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</si>
  <si>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</si>
  <si>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</si>
  <si>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</si>
  <si>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</si>
  <si>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</si>
  <si>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</si>
  <si>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</si>
  <si>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</si>
  <si>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</si>
  <si>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</si>
  <si>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</si>
  <si>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</si>
  <si>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</si>
  <si>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</si>
  <si>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</si>
  <si>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</si>
  <si>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</si>
  <si>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</si>
  <si>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</si>
  <si>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</si>
  <si>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</si>
  <si>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</si>
  <si>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</si>
  <si>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</si>
  <si>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</si>
  <si>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</si>
  <si>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</si>
  <si>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</si>
  <si>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</si>
  <si>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</si>
  <si>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</si>
  <si>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</si>
  <si>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</si>
  <si>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</si>
  <si>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</si>
  <si>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</si>
  <si>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</si>
  <si>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</si>
  <si>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</si>
  <si>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</si>
  <si>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</si>
  <si>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</si>
  <si>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</si>
  <si>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</si>
  <si>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</si>
  <si>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</si>
  <si>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</si>
  <si>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</si>
  <si>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</si>
  <si>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</si>
  <si>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</si>
  <si>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</si>
  <si>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</si>
  <si>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</si>
  <si>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</si>
  <si>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</si>
  <si>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</si>
  <si>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</si>
  <si>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</si>
  <si>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</si>
  <si>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</si>
  <si>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</si>
  <si>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</si>
  <si>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</si>
  <si>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</si>
  <si>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</si>
  <si>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</si>
  <si>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</si>
  <si>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</si>
  <si>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</si>
  <si>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</si>
  <si>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</si>
  <si>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</si>
  <si>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</si>
  <si>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</si>
  <si>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</si>
  <si>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</si>
  <si>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</si>
  <si>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</si>
  <si>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</si>
  <si>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</si>
  <si>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</si>
  <si>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</si>
  <si>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</si>
  <si>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</si>
  <si>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</si>
  <si>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</si>
  <si>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</si>
  <si>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</si>
  <si>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</si>
  <si>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</si>
  <si>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</si>
  <si>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</si>
  <si>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</si>
  <si>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</si>
  <si>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</si>
  <si>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</si>
  <si>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</si>
  <si>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</si>
  <si>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</si>
  <si>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</si>
  <si>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</si>
  <si>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</si>
  <si>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</si>
  <si>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</si>
  <si>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</si>
  <si>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</si>
  <si>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</si>
  <si>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</si>
  <si>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</si>
  <si>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</si>
  <si>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</si>
  <si>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</si>
  <si>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</si>
  <si>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</si>
  <si>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</si>
  <si>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</si>
  <si>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</si>
  <si>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</si>
  <si>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</si>
  <si>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</si>
  <si>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</si>
  <si>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</si>
  <si>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</si>
  <si>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</si>
  <si>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</si>
  <si>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</si>
  <si>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</si>
  <si>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</si>
  <si>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</si>
  <si>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</si>
  <si>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</si>
  <si>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</si>
  <si>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</si>
  <si>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</si>
  <si>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</si>
  <si>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</si>
  <si>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</si>
  <si>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</si>
  <si>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</si>
  <si>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</si>
  <si>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</si>
  <si>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</si>
  <si>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</si>
  <si>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</si>
  <si>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</si>
  <si>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</si>
  <si>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</si>
  <si>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</si>
  <si>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</si>
  <si>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</si>
  <si>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</si>
  <si>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</si>
  <si>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</si>
  <si>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</si>
  <si>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</si>
  <si>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</si>
  <si>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</si>
  <si>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</si>
  <si>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</si>
  <si>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</si>
  <si>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</si>
  <si>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</si>
  <si>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</si>
  <si>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</si>
  <si>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</si>
  <si>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</si>
  <si>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</si>
  <si>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</si>
  <si>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</si>
  <si>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</si>
  <si>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</si>
  <si>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</si>
  <si>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</si>
  <si>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</si>
  <si>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</si>
  <si>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</si>
  <si>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</si>
  <si>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</si>
  <si>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</si>
  <si>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</si>
  <si>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</si>
  <si>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</si>
  <si>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</si>
  <si>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</si>
  <si>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</si>
  <si>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</si>
  <si>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</si>
  <si>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</si>
  <si>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</si>
  <si>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</si>
  <si>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</si>
  <si>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</si>
  <si>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</si>
  <si>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</si>
  <si>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</si>
  <si>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</si>
  <si>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</si>
  <si>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</si>
  <si>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</si>
  <si>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</si>
  <si>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</si>
  <si>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</si>
  <si>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</si>
  <si>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</si>
  <si>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</si>
  <si>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</si>
  <si>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</si>
  <si>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</si>
  <si>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</si>
  <si>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</si>
  <si>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</si>
  <si>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</si>
  <si>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</si>
  <si>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</si>
  <si>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</si>
  <si>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</si>
  <si>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</si>
  <si>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</si>
  <si>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</si>
  <si>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</si>
  <si>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</si>
  <si>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</si>
  <si>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</si>
  <si>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</si>
  <si>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</si>
  <si>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</si>
  <si>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</si>
  <si>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</si>
  <si>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</si>
  <si>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</si>
  <si>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</si>
  <si>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</si>
  <si>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</si>
  <si>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</si>
  <si>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</si>
  <si>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</si>
  <si>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</si>
  <si>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</si>
  <si>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</si>
  <si>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</si>
  <si>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</si>
  <si>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</si>
  <si>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</si>
  <si>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</si>
  <si>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</si>
  <si>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</si>
  <si>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</si>
  <si>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</si>
  <si>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</si>
  <si>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</si>
  <si>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</si>
  <si>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</si>
  <si>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</si>
  <si>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</si>
  <si>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</si>
  <si>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</si>
  <si>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</si>
  <si>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</si>
  <si>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</si>
  <si>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</si>
  <si>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</si>
  <si>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</si>
  <si>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</si>
  <si>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</si>
  <si>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</si>
  <si>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</si>
  <si>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</si>
  <si>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</si>
  <si>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</si>
  <si>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</si>
  <si>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</si>
  <si>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</si>
  <si>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</si>
  <si>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</si>
  <si>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</si>
  <si>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</si>
  <si>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</si>
  <si>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</si>
  <si>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</si>
  <si>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</si>
  <si>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</si>
  <si>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</si>
  <si>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</si>
  <si>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</si>
  <si>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</si>
  <si>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</si>
  <si>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</si>
  <si>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</si>
  <si>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</si>
  <si>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</si>
  <si>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</si>
  <si>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</si>
  <si>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</si>
  <si>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</si>
  <si>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</si>
  <si>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</si>
  <si>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</si>
  <si>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</si>
  <si>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</si>
  <si>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</si>
  <si>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</si>
  <si>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</si>
  <si>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</si>
  <si>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</si>
  <si>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</si>
  <si>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</si>
  <si>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</si>
  <si>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</si>
  <si>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</si>
  <si>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</si>
  <si>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</si>
  <si>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</si>
  <si>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</si>
  <si>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</si>
  <si>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</si>
  <si>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</si>
  <si>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</si>
  <si>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</si>
  <si>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</si>
  <si>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</si>
  <si>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</si>
  <si>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</si>
  <si>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</si>
  <si>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</si>
  <si>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</si>
  <si>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</si>
  <si>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</si>
  <si>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</si>
  <si>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</si>
  <si>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</si>
  <si>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</si>
  <si>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</si>
  <si>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</si>
  <si>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</si>
  <si>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</si>
  <si>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</si>
  <si>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</si>
  <si>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</si>
  <si>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</si>
  <si>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</si>
  <si>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</si>
  <si>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</si>
  <si>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</si>
  <si>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</si>
  <si>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</si>
  <si>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</si>
  <si>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</si>
  <si>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</si>
  <si>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</si>
  <si>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</si>
  <si>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</si>
  <si>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</si>
  <si>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</si>
  <si>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</si>
  <si>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</si>
  <si>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</si>
  <si>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</si>
  <si>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</si>
  <si>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</si>
  <si>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</si>
  <si>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</si>
  <si>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</si>
  <si>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</si>
  <si>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</si>
  <si>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</si>
  <si>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</si>
  <si>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</si>
  <si>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</si>
  <si>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</si>
  <si>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</si>
  <si>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</si>
  <si>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</si>
  <si>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</si>
  <si>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</si>
  <si>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</si>
  <si>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</si>
  <si>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</si>
  <si>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</si>
  <si>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</si>
  <si>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</si>
  <si>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</si>
  <si>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</si>
  <si>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</si>
  <si>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</si>
  <si>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</si>
  <si>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</si>
  <si>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</si>
  <si>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</si>
  <si>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</si>
  <si>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</si>
  <si>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</si>
  <si>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</si>
  <si>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</si>
  <si>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</si>
  <si>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</si>
  <si>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</si>
  <si>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</si>
  <si>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</si>
  <si>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</si>
  <si>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</si>
  <si>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</si>
  <si>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</si>
  <si>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</si>
  <si>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</si>
  <si>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</si>
  <si>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</si>
  <si>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</si>
  <si>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</si>
  <si>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</si>
  <si>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</si>
  <si>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</si>
  <si>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</si>
  <si>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</si>
  <si>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</si>
  <si>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</si>
  <si>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</si>
  <si>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</si>
  <si>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</si>
  <si>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</si>
  <si>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</si>
  <si>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</si>
  <si>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</si>
  <si>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</si>
  <si>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</si>
  <si>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</si>
  <si>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</si>
  <si>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</si>
  <si>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</si>
  <si>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</si>
  <si>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</si>
  <si>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</si>
  <si>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</si>
  <si>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</si>
  <si>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</si>
  <si>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</si>
  <si>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</si>
  <si>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</si>
  <si>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</si>
  <si>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</si>
  <si>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</si>
  <si>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</si>
  <si>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</si>
  <si>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</si>
  <si>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</si>
  <si>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</si>
  <si>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</si>
  <si>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</si>
  <si>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</si>
  <si>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</si>
  <si>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</si>
  <si>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</si>
  <si>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</si>
  <si>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</si>
  <si>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</si>
  <si>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</si>
  <si>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</si>
  <si>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</si>
  <si>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</si>
  <si>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</si>
  <si>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</si>
  <si>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</si>
  <si>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</si>
  <si>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</si>
  <si>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</si>
  <si>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</si>
  <si>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</si>
  <si>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</si>
  <si>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</si>
  <si>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</si>
  <si>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</si>
  <si>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</si>
  <si>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</si>
  <si>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</si>
  <si>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</si>
  <si>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</si>
  <si>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</si>
  <si>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</si>
  <si>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</si>
  <si>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</si>
  <si>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</si>
  <si>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</si>
  <si>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</si>
  <si>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</si>
  <si>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</si>
  <si>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</si>
  <si>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</si>
  <si>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</si>
  <si>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</si>
  <si>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</si>
  <si>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</si>
  <si>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</si>
  <si>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</si>
  <si>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</si>
  <si>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</si>
  <si>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</si>
  <si>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</si>
  <si>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</si>
  <si>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</si>
  <si>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</si>
  <si>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</si>
  <si>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</si>
  <si>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</si>
  <si>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</si>
  <si>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</si>
  <si>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</si>
  <si>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</si>
  <si>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</si>
  <si>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</si>
  <si>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</si>
  <si>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</si>
  <si>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</si>
  <si>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</si>
  <si>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</si>
  <si>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</si>
  <si>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</si>
  <si>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</si>
  <si>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</si>
  <si>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</si>
  <si>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</si>
  <si>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</si>
  <si>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</si>
  <si>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</si>
  <si>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</si>
  <si>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</si>
  <si>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</si>
  <si>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</si>
  <si>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</si>
  <si>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</si>
  <si>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</si>
  <si>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</si>
  <si>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</si>
  <si>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</si>
  <si>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</si>
  <si>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</si>
  <si>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</si>
  <si>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</si>
  <si>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</si>
  <si>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</si>
  <si>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</si>
  <si>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</si>
  <si>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</si>
  <si>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</si>
  <si>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</si>
  <si>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</si>
  <si>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</si>
  <si>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</si>
  <si>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</si>
  <si>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</si>
  <si>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</si>
  <si>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</si>
  <si>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</si>
  <si>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</si>
  <si>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</si>
  <si>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</si>
  <si>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</si>
  <si>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</si>
  <si>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</si>
  <si>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</si>
  <si>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</si>
  <si>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</si>
  <si>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</si>
  <si>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</si>
  <si>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</si>
  <si>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</si>
  <si>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</si>
  <si>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</si>
  <si>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</si>
  <si>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</si>
  <si>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</si>
  <si>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</si>
  <si>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</si>
  <si>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</si>
  <si>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</si>
  <si>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</si>
  <si>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</si>
  <si>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</si>
  <si>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</si>
  <si>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</si>
  <si>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</si>
  <si>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</si>
  <si>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</si>
  <si>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</si>
  <si>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</si>
  <si>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</si>
  <si>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</si>
  <si>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</si>
  <si>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</si>
  <si>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</si>
  <si>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</si>
  <si>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</si>
  <si>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</si>
  <si>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</si>
  <si>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</si>
  <si>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</si>
  <si>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</si>
  <si>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</si>
  <si>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</si>
  <si>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</si>
  <si>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</si>
  <si>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</si>
  <si>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</si>
  <si>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</si>
  <si>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</si>
  <si>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</si>
  <si>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</si>
  <si>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</si>
  <si>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</si>
  <si>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</si>
  <si>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</si>
  <si>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</si>
  <si>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</si>
  <si>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</si>
  <si>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</si>
  <si>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</si>
  <si>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</si>
  <si>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</si>
  <si>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</si>
  <si>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</si>
  <si>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</si>
  <si>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</si>
  <si>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</si>
  <si>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</si>
  <si>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</si>
  <si>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</si>
  <si>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</si>
  <si>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</si>
  <si>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</si>
  <si>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</si>
  <si>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</si>
  <si>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</si>
  <si>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</si>
  <si>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</si>
  <si>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</si>
  <si>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</si>
  <si>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</si>
  <si>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</si>
  <si>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</si>
  <si>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</si>
  <si>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</si>
  <si>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</si>
  <si>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</si>
  <si>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</si>
  <si>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</si>
  <si>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</si>
  <si>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</si>
  <si>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</si>
  <si>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</si>
  <si>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</si>
  <si>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</si>
  <si>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</si>
  <si>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</si>
  <si>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</si>
  <si>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</si>
  <si>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</si>
  <si>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</si>
  <si>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</si>
  <si>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</si>
  <si>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</si>
  <si>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</si>
  <si>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</si>
  <si>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</si>
  <si>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</si>
  <si>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</si>
  <si>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</si>
  <si>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</si>
  <si>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</si>
  <si>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</si>
  <si>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</si>
  <si>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</si>
  <si>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</si>
  <si>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</si>
  <si>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</si>
  <si>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</si>
  <si>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</si>
  <si>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</si>
  <si>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</si>
  <si>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</si>
  <si>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</si>
  <si>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</si>
  <si>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</si>
  <si>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</si>
  <si>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</si>
  <si>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</si>
  <si>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</si>
  <si>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</si>
  <si>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</si>
  <si>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</si>
  <si>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</si>
  <si>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</si>
  <si>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</si>
  <si>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</si>
  <si>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</si>
  <si>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</si>
  <si>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</si>
  <si>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</si>
  <si>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</si>
  <si>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</si>
  <si>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</si>
  <si>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</si>
  <si>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</si>
  <si>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</si>
  <si>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</si>
  <si>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</si>
  <si>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</si>
  <si>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</si>
  <si>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</si>
  <si>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</si>
  <si>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</si>
  <si>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</si>
  <si>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</si>
  <si>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</si>
  <si>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</si>
  <si>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</si>
  <si>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</si>
  <si>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</si>
  <si>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</si>
  <si>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</si>
  <si>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</si>
  <si>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</si>
  <si>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</si>
  <si>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</si>
  <si>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</si>
  <si>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</si>
  <si>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</si>
  <si>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</si>
  <si>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</si>
  <si>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</si>
  <si>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</si>
  <si>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</si>
  <si>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</si>
  <si>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</si>
  <si>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</si>
  <si>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</si>
  <si>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</si>
  <si>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</si>
  <si>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</si>
  <si>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</si>
  <si>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</si>
  <si>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</si>
  <si>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</si>
  <si>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</si>
  <si>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</si>
  <si>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</si>
  <si>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</si>
  <si>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</si>
  <si>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</si>
  <si>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</si>
  <si>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</si>
  <si>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</si>
  <si>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</si>
  <si>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</si>
  <si>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</si>
  <si>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</si>
  <si>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</si>
  <si>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</si>
  <si>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</si>
  <si>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</si>
  <si>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</si>
  <si>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</si>
  <si>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</si>
  <si>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</si>
  <si>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</si>
  <si>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</si>
  <si>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</si>
  <si>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</si>
  <si>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</si>
  <si>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</si>
  <si>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</si>
  <si>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</si>
  <si>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</si>
  <si>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</si>
  <si>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</si>
  <si>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</si>
  <si>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</si>
  <si>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</si>
  <si>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</si>
  <si>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</si>
  <si>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</si>
  <si>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</si>
  <si>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</si>
  <si>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</si>
  <si>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</si>
  <si>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</si>
  <si>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</si>
  <si>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</si>
  <si>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</si>
  <si>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</si>
  <si>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</si>
  <si>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</si>
  <si>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</si>
  <si>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</si>
  <si>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</si>
  <si>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</si>
  <si>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</si>
  <si>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</si>
  <si>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</si>
  <si>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</si>
  <si>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</si>
  <si>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</si>
  <si>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</si>
  <si>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</si>
  <si>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</si>
  <si>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</si>
  <si>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</si>
  <si>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</si>
  <si>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</si>
  <si>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</si>
  <si>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</si>
  <si>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</si>
  <si>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</si>
  <si>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</si>
  <si>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</si>
  <si>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</si>
  <si>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</si>
  <si>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</si>
  <si>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</si>
  <si>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</si>
  <si>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</si>
  <si>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</si>
  <si>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</si>
  <si>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</si>
  <si>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</si>
  <si>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</si>
  <si>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</si>
  <si>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</si>
  <si>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</si>
  <si>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</si>
  <si>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</si>
  <si>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</si>
  <si>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</si>
  <si>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</si>
  <si>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</si>
  <si>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</si>
  <si>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</si>
  <si>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</si>
  <si>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</si>
  <si>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</si>
  <si>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</si>
  <si>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</si>
  <si>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</si>
  <si>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</si>
  <si>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</si>
  <si>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</si>
  <si>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</si>
  <si>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</si>
  <si>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</si>
  <si>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</si>
  <si>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</si>
  <si>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</si>
  <si>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</si>
  <si>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</si>
  <si>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</si>
  <si>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</si>
  <si>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</si>
  <si>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</si>
  <si>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</si>
  <si>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</si>
  <si>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</si>
  <si>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</si>
  <si>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</si>
  <si>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</si>
  <si>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</si>
  <si>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</si>
  <si>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</si>
  <si>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</si>
  <si>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</si>
  <si>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</si>
  <si>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</si>
  <si>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</si>
  <si>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</si>
  <si>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</si>
  <si>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</si>
  <si>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</si>
  <si>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</si>
  <si>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</si>
  <si>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</si>
  <si>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</si>
  <si>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</si>
  <si>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</si>
  <si>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</si>
  <si>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</si>
  <si>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</si>
  <si>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</si>
  <si>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</si>
  <si>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</si>
  <si>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</si>
  <si>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</si>
  <si>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</si>
  <si>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</si>
  <si>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</si>
  <si>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</si>
  <si>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</si>
  <si>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</si>
  <si>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</si>
  <si>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</si>
  <si>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</si>
  <si>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</si>
  <si>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</si>
  <si>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</si>
  <si>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</si>
  <si>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</si>
  <si>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</si>
  <si>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</si>
  <si>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</si>
  <si>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</si>
  <si>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</si>
  <si>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</si>
  <si>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</si>
  <si>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</si>
  <si>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</si>
  <si>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</si>
  <si>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</si>
  <si>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</si>
  <si>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</si>
  <si>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</si>
  <si>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</si>
  <si>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</si>
  <si>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</si>
  <si>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</si>
  <si>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</si>
  <si>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</si>
  <si>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</si>
  <si>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</si>
  <si>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</si>
  <si>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</si>
  <si>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</si>
  <si>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</si>
  <si>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</si>
  <si>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</si>
  <si>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</si>
  <si>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</si>
  <si>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</si>
  <si>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</si>
  <si>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</si>
  <si>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</si>
  <si>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</si>
  <si>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</si>
  <si>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</si>
  <si>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</si>
  <si>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</si>
  <si>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</si>
  <si>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</si>
  <si>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</si>
  <si>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</si>
  <si>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</si>
  <si>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</si>
  <si>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</si>
  <si>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</si>
  <si>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</si>
  <si>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</si>
  <si>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</si>
  <si>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</si>
  <si>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</si>
  <si>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</si>
  <si>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</si>
  <si>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</si>
  <si>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</si>
  <si>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</si>
  <si>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</si>
  <si>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</si>
  <si>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</si>
  <si>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</si>
  <si>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</si>
  <si>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</si>
  <si>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</si>
  <si>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</si>
  <si>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</si>
  <si>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</si>
  <si>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</si>
  <si>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</si>
  <si>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</si>
  <si>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</si>
  <si>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</si>
  <si>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</si>
  <si>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</si>
  <si>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</si>
  <si>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</si>
  <si>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</si>
  <si>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</si>
  <si>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</si>
  <si>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</si>
  <si>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</si>
  <si>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</si>
  <si>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</si>
  <si>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</si>
  <si>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</si>
  <si>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</si>
  <si>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</si>
  <si>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</si>
  <si>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</si>
  <si>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</si>
  <si>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</si>
  <si>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</si>
  <si>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</si>
  <si>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</si>
  <si>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</si>
  <si>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</si>
  <si>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</si>
  <si>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</si>
  <si>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</si>
  <si>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</si>
  <si>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</si>
  <si>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</si>
  <si>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</si>
  <si>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</si>
  <si>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</si>
  <si>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</si>
  <si>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</si>
  <si>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</si>
  <si>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</si>
  <si>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</si>
  <si>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</si>
  <si>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</si>
  <si>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</si>
  <si>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</si>
  <si>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</si>
  <si>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</si>
  <si>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</si>
  <si>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</si>
  <si>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</si>
  <si>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</si>
  <si>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</si>
  <si>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</si>
  <si>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</si>
  <si>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</si>
  <si>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</si>
  <si>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</si>
  <si>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</si>
  <si>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</si>
  <si>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</si>
  <si>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</si>
  <si>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</si>
  <si>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</si>
  <si>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</si>
  <si>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</si>
  <si>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</si>
  <si>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</si>
  <si>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</si>
  <si>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</si>
  <si>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</si>
  <si>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</si>
  <si>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</si>
  <si>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</si>
  <si>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</si>
  <si>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</si>
  <si>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</si>
  <si>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</si>
  <si>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</si>
  <si>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</si>
  <si>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</si>
  <si>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</si>
  <si>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</si>
  <si>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</si>
  <si>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</si>
  <si>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</si>
  <si>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</si>
  <si>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</si>
  <si>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</si>
  <si>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</si>
  <si>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</si>
  <si>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</si>
  <si>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</si>
  <si>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</si>
  <si>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</si>
  <si>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</si>
  <si>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</si>
  <si>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</si>
  <si>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</si>
  <si>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</si>
  <si>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</si>
  <si>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</si>
  <si>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</si>
  <si>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</si>
  <si>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</si>
  <si>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</si>
  <si>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</si>
  <si>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</si>
  <si>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</si>
  <si>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</si>
  <si>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</si>
  <si>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</si>
  <si>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</si>
  <si>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</si>
  <si>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</si>
  <si>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</si>
  <si>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</si>
  <si>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</si>
  <si>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</si>
  <si>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</si>
  <si>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</si>
  <si>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</si>
  <si>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</si>
  <si>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</si>
  <si>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</si>
  <si>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</si>
  <si>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</si>
  <si>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</si>
  <si>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</si>
  <si>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</si>
  <si>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</si>
  <si>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</si>
  <si>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</si>
  <si>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</si>
  <si>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</si>
  <si>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</si>
  <si>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</si>
  <si>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</si>
  <si>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</si>
  <si>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</si>
  <si>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</si>
  <si>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</si>
  <si>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</si>
  <si>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</si>
  <si>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</si>
  <si>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</si>
  <si>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</si>
  <si>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</si>
  <si>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</si>
  <si>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</si>
  <si>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</si>
  <si>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</si>
  <si>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</si>
  <si>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</si>
  <si>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</si>
  <si>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</si>
  <si>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</si>
  <si>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</si>
  <si>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</si>
  <si>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</si>
  <si>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</si>
  <si>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</si>
  <si>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</si>
  <si>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</si>
  <si>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</si>
  <si>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</si>
  <si>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</si>
  <si>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</si>
  <si>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</si>
  <si>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</si>
  <si>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</si>
  <si>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</si>
  <si>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</si>
  <si>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</si>
  <si>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</si>
  <si>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</si>
  <si>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</si>
  <si>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</si>
  <si>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</si>
  <si>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</si>
  <si>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</si>
  <si>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</si>
  <si>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</si>
  <si>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</si>
  <si>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</si>
  <si>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</si>
  <si>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</si>
  <si>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</si>
  <si>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</si>
  <si>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</si>
  <si>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</si>
  <si>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</si>
  <si>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</si>
  <si>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</si>
  <si>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</si>
  <si>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</si>
  <si>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</si>
  <si>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</si>
  <si>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</si>
  <si>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</si>
  <si>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</si>
  <si>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</si>
  <si>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</si>
  <si>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</si>
  <si>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</si>
  <si>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</si>
  <si>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</si>
  <si>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</si>
  <si>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</si>
  <si>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</si>
  <si>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</si>
  <si>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</si>
  <si>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</si>
  <si>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</si>
  <si>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</si>
  <si>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</si>
  <si>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</si>
  <si>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</si>
  <si>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</si>
  <si>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</si>
  <si>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</si>
  <si>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</si>
  <si>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</si>
  <si>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</si>
  <si>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</si>
  <si>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</si>
  <si>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</si>
  <si>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</si>
  <si>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</si>
  <si>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</si>
  <si>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</si>
  <si>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</si>
  <si>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</si>
  <si>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</si>
  <si>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</si>
  <si>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</si>
  <si>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</si>
  <si>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</si>
  <si>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</si>
  <si>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</si>
  <si>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</si>
  <si>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</si>
  <si>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</si>
  <si>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</si>
  <si>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</si>
  <si>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</si>
  <si>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</si>
  <si>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</si>
  <si>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</si>
  <si>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</si>
  <si>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</si>
  <si>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</si>
  <si>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</si>
  <si>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</si>
  <si>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</si>
  <si>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</si>
  <si>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</si>
  <si>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</si>
  <si>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</si>
  <si>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</si>
  <si>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</si>
  <si>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</si>
  <si>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</si>
  <si>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</si>
  <si>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</si>
  <si>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</si>
  <si>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</si>
  <si>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</si>
  <si>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</si>
  <si>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</si>
  <si>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</si>
  <si>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</si>
  <si>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</si>
  <si>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</si>
  <si>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</si>
  <si>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</si>
  <si>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</si>
  <si>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</si>
  <si>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</si>
  <si>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</si>
  <si>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</si>
  <si>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</si>
  <si>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</si>
  <si>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</si>
  <si>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</si>
  <si>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</si>
  <si>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</si>
  <si>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</si>
  <si>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</si>
  <si>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</si>
  <si>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</si>
  <si>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</si>
  <si>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</si>
  <si>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</si>
  <si>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</si>
  <si>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</si>
  <si>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</si>
  <si>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</si>
  <si>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</si>
  <si>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</si>
  <si>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</si>
  <si>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</si>
  <si>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</si>
  <si>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</si>
  <si>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</si>
  <si>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</si>
  <si>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</si>
  <si>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</si>
  <si>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</si>
  <si>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</si>
  <si>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</si>
  <si>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</si>
  <si>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</si>
  <si>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</si>
  <si>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</si>
  <si>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</si>
  <si>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</si>
  <si>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</si>
  <si>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</si>
  <si>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</si>
  <si>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</si>
  <si>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</si>
  <si>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</si>
  <si>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</si>
  <si>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</si>
  <si>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</si>
  <si>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</si>
  <si>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</si>
  <si>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</si>
  <si>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</si>
  <si>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</si>
  <si>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</si>
  <si>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</si>
  <si>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</si>
  <si>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</si>
  <si>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</si>
  <si>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</si>
  <si>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</si>
  <si>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</si>
  <si>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</si>
  <si>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</si>
  <si>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</si>
  <si>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</si>
  <si>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</si>
  <si>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</si>
  <si>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</si>
  <si>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</si>
  <si>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</si>
  <si>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</si>
  <si>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</si>
  <si>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</si>
  <si>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</si>
  <si>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</si>
  <si>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</si>
  <si>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</si>
  <si>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</si>
  <si>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</si>
  <si>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</si>
  <si>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</si>
  <si>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</si>
  <si>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</si>
  <si>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</si>
  <si>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</si>
  <si>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</si>
  <si>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</si>
  <si>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</si>
  <si>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</si>
  <si>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</si>
  <si>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</si>
  <si>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</si>
  <si>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</si>
  <si>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</si>
  <si>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</si>
  <si>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</si>
  <si>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</si>
  <si>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</si>
  <si>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</si>
  <si>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</si>
  <si>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</si>
  <si>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</si>
  <si>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</si>
  <si>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</si>
  <si>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</si>
  <si>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</si>
  <si>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</si>
  <si>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</si>
  <si>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</si>
  <si>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</si>
  <si>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</si>
  <si>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</si>
  <si>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</si>
  <si>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</si>
  <si>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</si>
  <si>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</si>
  <si>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</si>
  <si>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</si>
  <si>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</si>
  <si>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</si>
  <si>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</si>
  <si>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</si>
  <si>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</si>
  <si>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</si>
  <si>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</si>
  <si>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</si>
  <si>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</si>
  <si>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</si>
  <si>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</si>
  <si>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</si>
  <si>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</si>
  <si>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</si>
  <si>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</si>
  <si>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</si>
  <si>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</si>
  <si>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</si>
  <si>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</si>
  <si>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</si>
  <si>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</si>
  <si>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</si>
  <si>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</si>
  <si>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</si>
  <si>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</si>
  <si>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</si>
  <si>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</si>
  <si>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</si>
  <si>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</si>
  <si>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</si>
  <si>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</si>
  <si>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</si>
  <si>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</si>
  <si>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</si>
  <si>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</si>
  <si>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</si>
  <si>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</si>
  <si>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</si>
  <si>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</si>
  <si>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</si>
  <si>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</si>
  <si>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</si>
  <si>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</si>
  <si>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</si>
  <si>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</si>
  <si>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</si>
  <si>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</si>
  <si>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</si>
  <si>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</si>
  <si>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</si>
  <si>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</si>
  <si>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</si>
  <si>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</si>
  <si>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</si>
  <si>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</si>
  <si>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</si>
  <si>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</si>
  <si>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</si>
  <si>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</si>
  <si>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</si>
  <si>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</si>
  <si>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</si>
  <si>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</si>
  <si>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</si>
  <si>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</si>
  <si>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</si>
  <si>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</si>
  <si>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</si>
  <si>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</si>
  <si>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</si>
  <si>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</si>
  <si>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</si>
  <si>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</si>
  <si>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</si>
  <si>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</si>
  <si>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</si>
  <si>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</si>
  <si>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</si>
  <si>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</si>
  <si>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</si>
  <si>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</si>
  <si>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</si>
  <si>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</si>
  <si>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</si>
  <si>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</si>
  <si>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</si>
  <si>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</si>
  <si>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</si>
  <si>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</si>
  <si>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</si>
  <si>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</si>
  <si>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</si>
  <si>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</si>
  <si>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</si>
  <si>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</si>
  <si>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</si>
  <si>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</si>
  <si>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</si>
  <si>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</si>
  <si>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</si>
  <si>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</si>
  <si>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</si>
  <si>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</si>
  <si>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</si>
  <si>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</si>
  <si>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</si>
  <si>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</si>
  <si>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</si>
  <si>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</si>
  <si>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</si>
  <si>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</si>
  <si>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</si>
  <si>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</si>
  <si>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</si>
  <si>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</si>
  <si>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</si>
  <si>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</si>
  <si>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</si>
  <si>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</si>
  <si>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</si>
  <si>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</si>
  <si>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</si>
  <si>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</si>
  <si>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</si>
  <si>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</si>
  <si>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</si>
  <si>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</si>
  <si>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</si>
  <si>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</si>
  <si>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</si>
  <si>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</si>
  <si>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</si>
  <si>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</si>
  <si>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</si>
  <si>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</si>
  <si>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</si>
  <si>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</si>
  <si>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</si>
  <si>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</si>
  <si>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</si>
  <si>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</si>
  <si>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</si>
  <si>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</si>
  <si>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</si>
  <si>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</si>
  <si>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</si>
  <si>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</si>
  <si>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</si>
  <si>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</si>
  <si>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</si>
  <si>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</si>
  <si>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</si>
  <si>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</si>
  <si>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</si>
  <si>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</si>
  <si>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</si>
  <si>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</si>
  <si>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</si>
  <si>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</si>
  <si>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</si>
  <si>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</si>
  <si>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</si>
  <si>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</si>
  <si>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</si>
  <si>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</si>
  <si>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</si>
  <si>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</si>
  <si>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</si>
  <si>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</si>
  <si>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</si>
  <si>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</si>
  <si>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</si>
  <si>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</si>
  <si>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</si>
  <si>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</si>
  <si>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</si>
  <si>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</si>
  <si>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</si>
  <si>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</si>
  <si>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</si>
  <si>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</si>
  <si>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</si>
  <si>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</si>
  <si>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</si>
  <si>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</si>
  <si>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</si>
  <si>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</si>
  <si>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</si>
  <si>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</si>
  <si>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</si>
  <si>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</si>
  <si>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</si>
  <si>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</si>
  <si>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</si>
  <si>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</si>
  <si>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</si>
  <si>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</si>
  <si>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</si>
  <si>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</si>
  <si>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</si>
  <si>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</si>
  <si>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</si>
  <si>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</si>
  <si>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</si>
  <si>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</si>
  <si>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</si>
  <si>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</si>
  <si>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</si>
  <si>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</si>
  <si>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</si>
  <si>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</si>
  <si>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</si>
  <si>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</si>
  <si>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</si>
  <si>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</si>
  <si>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</si>
  <si>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</si>
  <si>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</si>
  <si>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</si>
  <si>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</si>
  <si>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</si>
  <si>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</si>
  <si>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</si>
  <si>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</si>
  <si>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</si>
  <si>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</si>
  <si>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</si>
  <si>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</si>
  <si>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</si>
  <si>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</si>
  <si>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</si>
  <si>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</si>
  <si>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</si>
  <si>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</si>
  <si>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</si>
  <si>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</si>
  <si>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</si>
  <si>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</si>
  <si>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</si>
  <si>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</si>
  <si>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</si>
  <si>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</si>
  <si>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</si>
  <si>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</si>
  <si>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</si>
  <si>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</si>
  <si>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</si>
  <si>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</si>
  <si>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</si>
  <si>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</si>
  <si>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</si>
  <si>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</si>
  <si>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</si>
  <si>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</si>
  <si>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</si>
  <si>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</si>
  <si>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</si>
  <si>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</si>
  <si>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</si>
  <si>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</si>
  <si>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</si>
  <si>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</si>
  <si>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</si>
  <si>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</si>
  <si>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</si>
  <si>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</si>
  <si>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</si>
  <si>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</si>
  <si>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</si>
  <si>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</si>
  <si>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</si>
  <si>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</si>
  <si>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</si>
  <si>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</si>
  <si>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</si>
  <si>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</si>
  <si>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</si>
  <si>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</si>
  <si>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</si>
  <si>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</si>
  <si>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</si>
  <si>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</si>
  <si>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</si>
  <si>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</si>
  <si>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</si>
  <si>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</si>
  <si>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</si>
  <si>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</si>
  <si>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</si>
  <si>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</si>
  <si>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</si>
  <si>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</si>
  <si>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</si>
  <si>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</si>
  <si>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</si>
  <si>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</si>
  <si>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</si>
  <si>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</si>
  <si>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</si>
  <si>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</si>
  <si>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</si>
  <si>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</si>
  <si>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</si>
  <si>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</si>
  <si>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</si>
  <si>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</si>
  <si>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</si>
  <si>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</si>
  <si>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</si>
  <si>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</si>
  <si>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</si>
  <si>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</si>
  <si>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</si>
  <si>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</si>
  <si>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</si>
  <si>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</si>
  <si>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</si>
  <si>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</si>
  <si>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</si>
  <si>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</si>
  <si>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</si>
  <si>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</si>
  <si>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</si>
  <si>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</si>
  <si>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</si>
  <si>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</si>
  <si>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</si>
  <si>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</si>
  <si>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</si>
  <si>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</si>
  <si>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</si>
  <si>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</si>
  <si>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</si>
  <si>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</si>
  <si>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</si>
  <si>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</si>
  <si>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</si>
  <si>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</si>
  <si>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</si>
  <si>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</si>
  <si>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</si>
  <si>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</si>
  <si>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</si>
  <si>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</si>
  <si>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</si>
  <si>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</si>
  <si>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</si>
  <si>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</si>
  <si>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</si>
  <si>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</si>
  <si>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</si>
  <si>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</si>
  <si>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</si>
  <si>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</si>
  <si>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</si>
  <si>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</si>
  <si>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</si>
  <si>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</si>
  <si>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</si>
  <si>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</si>
  <si>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</si>
  <si>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</si>
  <si>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</si>
  <si>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</si>
  <si>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</si>
  <si>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</si>
  <si>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</si>
  <si>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</si>
  <si>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</si>
  <si>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</si>
  <si>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</si>
  <si>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</si>
  <si>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</si>
  <si>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</si>
  <si>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</si>
  <si>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</si>
  <si>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</si>
  <si>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</si>
  <si>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</si>
  <si>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</si>
  <si>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</si>
  <si>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</si>
  <si>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</si>
  <si>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</si>
  <si>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</si>
  <si>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</si>
  <si>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</si>
  <si>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</si>
  <si>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</si>
  <si>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</si>
  <si>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</si>
  <si>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</si>
  <si>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</si>
  <si>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</si>
  <si>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</si>
  <si>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</si>
  <si>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</si>
  <si>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</si>
  <si>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</si>
  <si>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</si>
  <si>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</si>
  <si>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</si>
  <si>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</si>
  <si>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</si>
  <si>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</si>
  <si>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</si>
  <si>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</si>
  <si>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</si>
  <si>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</si>
  <si>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</si>
  <si>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</si>
  <si>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</si>
  <si>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</si>
  <si>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</si>
  <si>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</si>
  <si>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</si>
  <si>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</si>
  <si>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</si>
  <si>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</si>
  <si>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</si>
  <si>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</si>
  <si>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</si>
  <si>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</si>
  <si>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</si>
  <si>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</si>
  <si>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</si>
  <si>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</si>
  <si>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</si>
  <si>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</si>
  <si>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</si>
  <si>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</si>
  <si>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</si>
  <si>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</si>
  <si>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</si>
  <si>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</si>
  <si>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</si>
  <si>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</si>
  <si>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</si>
  <si>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</si>
  <si>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</si>
  <si>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</si>
  <si>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</si>
  <si>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</si>
  <si>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</si>
  <si>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</si>
  <si>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</si>
  <si>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</si>
  <si>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</si>
  <si>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</si>
  <si>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</si>
  <si>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</si>
  <si>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</si>
  <si>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</si>
  <si>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</si>
  <si>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</si>
  <si>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</si>
  <si>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</si>
  <si>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</si>
  <si>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</si>
  <si>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</si>
  <si>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</si>
  <si>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</si>
  <si>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</si>
  <si>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</si>
  <si>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</si>
  <si>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</si>
  <si>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</si>
  <si>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</si>
  <si>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</si>
  <si>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</si>
  <si>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</si>
  <si>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</si>
  <si>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</si>
  <si>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</si>
  <si>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</si>
  <si>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</si>
  <si>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</si>
  <si>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</si>
  <si>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</si>
  <si>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</si>
  <si>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</si>
  <si>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</si>
  <si>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</si>
  <si>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</si>
  <si>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</si>
  <si>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</si>
  <si>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</si>
  <si>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</si>
  <si>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</si>
  <si>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</si>
  <si>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</si>
  <si>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</si>
  <si>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</si>
  <si>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</si>
  <si>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</si>
  <si>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</si>
  <si>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</si>
  <si>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</si>
  <si>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</si>
  <si>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</si>
  <si>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</si>
  <si>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</si>
  <si>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</si>
  <si>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</si>
  <si>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</si>
  <si>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</si>
  <si>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</si>
  <si>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</si>
  <si>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</si>
  <si>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</si>
  <si>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</si>
  <si>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</si>
  <si>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</si>
  <si>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</si>
  <si>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</si>
  <si>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</si>
  <si>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</si>
  <si>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</si>
  <si>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</si>
  <si>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</si>
  <si>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</si>
  <si>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</si>
  <si>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</si>
  <si>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</si>
  <si>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</si>
  <si>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</si>
  <si>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</si>
  <si>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</si>
  <si>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</si>
  <si>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</si>
  <si>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</si>
  <si>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</si>
  <si>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</si>
  <si>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</si>
  <si>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</si>
  <si>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</si>
  <si>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</si>
  <si>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</si>
  <si>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</si>
  <si>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</si>
  <si>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</si>
  <si>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</si>
  <si>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</si>
  <si>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</si>
  <si>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</si>
  <si>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</si>
  <si>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</si>
  <si>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</si>
  <si>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</si>
  <si>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</si>
  <si>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</si>
  <si>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</si>
  <si>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</si>
  <si>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</si>
  <si>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</si>
  <si>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</si>
  <si>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</si>
  <si>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</si>
  <si>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</si>
  <si>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</si>
  <si>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</si>
  <si>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</si>
  <si>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</si>
  <si>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</si>
  <si>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</si>
  <si>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</si>
  <si>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</si>
  <si>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</si>
  <si>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</si>
  <si>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</si>
  <si>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</si>
  <si>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</si>
  <si>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</si>
  <si>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</si>
  <si>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</si>
  <si>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</si>
  <si>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</si>
  <si>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</si>
  <si>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</si>
  <si>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</si>
  <si>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</si>
  <si>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</si>
  <si>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</si>
  <si>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</si>
  <si>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</si>
  <si>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</si>
  <si>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</si>
  <si>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</si>
  <si>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</si>
  <si>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</si>
  <si>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</si>
  <si>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</si>
  <si>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</si>
  <si>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</si>
  <si>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</si>
  <si>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</si>
  <si>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</si>
  <si>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</si>
  <si>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</si>
  <si>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</si>
  <si>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</si>
  <si>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</si>
  <si>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</si>
  <si>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</si>
  <si>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</si>
  <si>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</si>
  <si>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</si>
  <si>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</si>
  <si>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</si>
  <si>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</si>
  <si>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</si>
  <si>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</si>
  <si>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</si>
  <si>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</si>
  <si>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</si>
  <si>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</si>
  <si>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</si>
  <si>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</si>
  <si>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</si>
  <si>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</si>
  <si>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</si>
  <si>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</si>
  <si>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</si>
  <si>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</si>
  <si>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</si>
  <si>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</si>
  <si>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</si>
  <si>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</si>
  <si>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</si>
  <si>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</si>
  <si>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</si>
  <si>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</si>
  <si>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</si>
  <si>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</si>
  <si>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</si>
  <si>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</si>
  <si>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</si>
  <si>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</si>
  <si>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</si>
  <si>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</si>
  <si>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</si>
  <si>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</si>
  <si>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</si>
  <si>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</si>
  <si>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</si>
  <si>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</si>
  <si>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</si>
  <si>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</si>
  <si>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</si>
  <si>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</si>
  <si>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</si>
  <si>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</si>
  <si>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</si>
  <si>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</si>
  <si>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</si>
  <si>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</si>
  <si>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</si>
  <si>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</si>
  <si>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</si>
  <si>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</si>
  <si>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</si>
  <si>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</si>
  <si>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</si>
  <si>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</si>
  <si>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</si>
  <si>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</si>
  <si>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</si>
  <si>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</si>
  <si>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</si>
  <si>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</si>
  <si>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</si>
  <si>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</si>
  <si>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</si>
  <si>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</si>
  <si>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</si>
  <si>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</si>
  <si>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</si>
  <si>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</si>
  <si>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</si>
  <si>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</si>
  <si>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</si>
  <si>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</si>
  <si>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</si>
  <si>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</si>
  <si>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</si>
  <si>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</si>
  <si>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</si>
  <si>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</si>
  <si>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</si>
  <si>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</si>
  <si>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</si>
  <si>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</si>
  <si>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</si>
  <si>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</si>
  <si>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</si>
  <si>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</si>
  <si>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</si>
  <si>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</si>
  <si>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</si>
  <si>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</si>
  <si>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</si>
  <si>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</si>
  <si>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</si>
  <si>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</si>
  <si>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</si>
  <si>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</si>
  <si>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</si>
  <si>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</si>
  <si>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</si>
  <si>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</si>
  <si>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</si>
  <si>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</si>
  <si>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</si>
  <si>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</si>
  <si>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</si>
  <si>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</si>
  <si>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</si>
  <si>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</si>
  <si>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</si>
  <si>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</si>
  <si>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</si>
  <si>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</si>
  <si>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</si>
  <si>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</si>
  <si>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</si>
  <si>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</si>
  <si>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</si>
  <si>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</si>
  <si>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</si>
  <si>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</si>
  <si>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</si>
  <si>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</si>
  <si>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</si>
  <si>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</si>
  <si>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</si>
  <si>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</si>
  <si>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</si>
  <si>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</si>
  <si>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</si>
  <si>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</si>
  <si>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</si>
  <si>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</si>
  <si>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</si>
  <si>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</si>
  <si>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</si>
  <si>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</si>
  <si>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</si>
  <si>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</si>
  <si>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</si>
  <si>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</si>
  <si>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</si>
  <si>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</si>
  <si>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</si>
  <si>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</si>
  <si>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</si>
  <si>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</si>
  <si>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</si>
  <si>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</si>
  <si>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</si>
  <si>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</si>
  <si>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</si>
  <si>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</si>
  <si>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</si>
  <si>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</si>
  <si>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</si>
  <si>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</si>
  <si>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</si>
  <si>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</si>
  <si>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</si>
  <si>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</si>
  <si>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</si>
  <si>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</si>
  <si>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</si>
  <si>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</si>
  <si>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</si>
  <si>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</si>
  <si>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</si>
  <si>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</si>
  <si>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</si>
  <si>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</si>
  <si>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</si>
  <si>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</si>
  <si>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</si>
  <si>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</si>
  <si>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</si>
  <si>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</si>
  <si>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</si>
  <si>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</si>
  <si>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</si>
  <si>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</si>
  <si>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</si>
  <si>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</si>
  <si>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</si>
  <si>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</si>
  <si>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</si>
  <si>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</si>
  <si>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</si>
  <si>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</si>
  <si>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</si>
  <si>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</si>
  <si>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</si>
  <si>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</si>
  <si>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</si>
  <si>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</si>
  <si>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</si>
  <si>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</si>
  <si>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</si>
  <si>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</si>
  <si>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</si>
  <si>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</si>
  <si>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</si>
  <si>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</si>
  <si>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</si>
  <si>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</si>
  <si>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</si>
  <si>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</si>
  <si>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</si>
  <si>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</si>
  <si>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</si>
  <si>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</si>
  <si>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</si>
  <si>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</si>
  <si>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</si>
  <si>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</si>
  <si>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</si>
  <si>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</si>
  <si>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</si>
  <si>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</si>
  <si>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</si>
  <si>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</si>
  <si>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</si>
  <si>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</si>
  <si>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</si>
  <si>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</si>
  <si>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</si>
  <si>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</si>
  <si>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</si>
  <si>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</si>
  <si>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</si>
  <si>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</si>
  <si>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</si>
  <si>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</si>
  <si>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</si>
  <si>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</si>
  <si>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</si>
  <si>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</si>
  <si>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</si>
  <si>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</si>
  <si>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</si>
  <si>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</si>
  <si>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</si>
  <si>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</si>
  <si>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</si>
  <si>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</si>
  <si>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</si>
  <si>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</si>
  <si>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</si>
  <si>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</si>
  <si>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</si>
  <si>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</si>
  <si>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</si>
  <si>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</si>
  <si>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</si>
  <si>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</si>
  <si>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</si>
  <si>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</si>
  <si>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</si>
  <si>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</si>
  <si>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</si>
  <si>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</si>
  <si>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</si>
  <si>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</si>
  <si>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</si>
  <si>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</si>
  <si>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</si>
  <si>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</si>
  <si>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</si>
  <si>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</si>
  <si>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</si>
  <si>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</si>
  <si>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</si>
  <si>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</si>
  <si>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</si>
  <si>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</si>
  <si>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</si>
  <si>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</si>
  <si>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</si>
  <si>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</si>
  <si>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</si>
  <si>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</si>
  <si>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</si>
  <si>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</si>
  <si>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</si>
  <si>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</si>
  <si>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</si>
  <si>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</si>
  <si>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</si>
  <si>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</si>
  <si>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</si>
  <si>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</si>
  <si>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</si>
  <si>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</si>
  <si>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</si>
  <si>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</si>
  <si>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</si>
  <si>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</si>
  <si>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</si>
  <si>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</si>
  <si>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</si>
  <si>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</si>
  <si>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</si>
  <si>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</si>
  <si>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</si>
  <si>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</si>
  <si>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</si>
  <si>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</si>
  <si>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</si>
  <si>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</si>
  <si>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</si>
  <si>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</si>
  <si>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</si>
  <si>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</si>
  <si>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</si>
  <si>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</si>
  <si>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</si>
  <si>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</si>
  <si>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</si>
  <si>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</si>
  <si>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</si>
  <si>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</si>
  <si>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</si>
  <si>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</si>
  <si>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</si>
  <si>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</si>
  <si>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</si>
  <si>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</si>
  <si>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</si>
  <si>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</si>
  <si>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</si>
  <si>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</si>
  <si>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</si>
  <si>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</si>
  <si>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</si>
  <si>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</si>
  <si>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</si>
  <si>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</si>
  <si>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</si>
  <si>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</si>
  <si>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</si>
  <si>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</si>
  <si>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</si>
  <si>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</si>
  <si>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</si>
  <si>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</si>
  <si>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</si>
  <si>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</si>
  <si>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</si>
  <si>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</si>
  <si>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</si>
  <si>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</si>
  <si>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</si>
  <si>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</si>
  <si>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</si>
  <si>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</si>
  <si>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</si>
  <si>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</si>
  <si>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</si>
  <si>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</si>
  <si>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</si>
  <si>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</si>
  <si>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</si>
  <si>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</si>
  <si>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</si>
  <si>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</si>
  <si>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</si>
  <si>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</si>
  <si>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</si>
  <si>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</si>
  <si>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</si>
  <si>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</si>
  <si>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</si>
  <si>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</si>
  <si>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</si>
  <si>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</si>
  <si>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</si>
  <si>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</si>
  <si>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</si>
  <si>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</si>
  <si>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</si>
  <si>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</si>
  <si>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</si>
  <si>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</si>
  <si>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</si>
  <si>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</si>
  <si>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</si>
  <si>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</si>
  <si>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</si>
  <si>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</si>
  <si>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</si>
  <si>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</si>
  <si>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</si>
  <si>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</si>
  <si>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</si>
  <si>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</si>
  <si>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</si>
  <si>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</si>
  <si>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</si>
  <si>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</si>
  <si>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</si>
  <si>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</si>
  <si>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</si>
  <si>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</si>
  <si>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</si>
  <si>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</si>
  <si>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</si>
  <si>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</si>
  <si>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</si>
  <si>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</si>
  <si>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</si>
  <si>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</si>
  <si>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</si>
  <si>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</si>
  <si>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</si>
  <si>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</si>
  <si>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</si>
  <si>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</si>
  <si>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</si>
  <si>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</si>
  <si>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</si>
  <si>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</si>
  <si>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</si>
  <si>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</si>
  <si>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</si>
  <si>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</si>
  <si>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</si>
  <si>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</si>
  <si>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</si>
  <si>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</si>
  <si>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</si>
  <si>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</si>
  <si>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</si>
  <si>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</si>
  <si>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</si>
  <si>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</si>
  <si>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</si>
  <si>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</si>
  <si>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</si>
  <si>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</si>
  <si>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</si>
  <si>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</si>
  <si>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</si>
  <si>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</si>
  <si>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</si>
  <si>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</si>
  <si>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</si>
  <si>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</si>
  <si>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</si>
  <si>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</si>
  <si>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</si>
  <si>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</si>
  <si>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</si>
  <si>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</si>
  <si>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</si>
  <si>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</si>
  <si>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</si>
  <si>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</si>
  <si>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</si>
  <si>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</si>
  <si>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</si>
  <si>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</si>
  <si>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</si>
  <si>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</si>
  <si>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</si>
  <si>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</si>
  <si>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</si>
  <si>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</si>
  <si>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</si>
  <si>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</si>
  <si>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</si>
  <si>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</si>
  <si>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</si>
  <si>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</si>
  <si>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</si>
  <si>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</si>
  <si>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</si>
  <si>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</si>
  <si>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</si>
  <si>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</si>
  <si>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</si>
  <si>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</si>
  <si>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</si>
  <si>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</si>
  <si>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</si>
  <si>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</si>
  <si>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</si>
  <si>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</si>
  <si>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</si>
  <si>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</si>
  <si>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</si>
  <si>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</si>
  <si>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</si>
  <si>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</si>
  <si>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</si>
  <si>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</si>
  <si>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</si>
  <si>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</si>
  <si>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</si>
  <si>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</si>
  <si>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</si>
  <si>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</si>
  <si>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</si>
  <si>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</si>
  <si>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</si>
  <si>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</si>
  <si>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</si>
  <si>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</si>
  <si>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</si>
  <si>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</si>
  <si>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</si>
  <si>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</si>
  <si>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</si>
  <si>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</si>
  <si>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</si>
  <si>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</si>
  <si>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</si>
  <si>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</si>
  <si>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</si>
  <si>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</si>
  <si>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</si>
  <si>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</si>
  <si>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</si>
  <si>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</si>
  <si>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</si>
  <si>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</si>
  <si>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</si>
  <si>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</si>
  <si>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</si>
  <si>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</si>
  <si>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</si>
  <si>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</si>
  <si>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</si>
  <si>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</si>
  <si>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</si>
  <si>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</si>
  <si>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</si>
  <si>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</si>
  <si>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</si>
  <si>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</si>
  <si>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</si>
  <si>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</si>
  <si>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</si>
  <si>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</si>
  <si>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</si>
  <si>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</si>
  <si>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</si>
  <si>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</si>
  <si>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</si>
  <si>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</si>
  <si>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</si>
  <si>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</si>
  <si>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</si>
  <si>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</si>
  <si>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</si>
  <si>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</si>
  <si>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</si>
  <si>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</si>
  <si>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</si>
  <si>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</si>
  <si>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</si>
  <si>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</si>
  <si>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</si>
  <si>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</si>
  <si>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</si>
  <si>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</si>
  <si>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</si>
  <si>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</si>
  <si>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</si>
  <si>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</si>
  <si>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</si>
  <si>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</si>
  <si>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</si>
  <si>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</si>
  <si>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</si>
  <si>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</si>
  <si>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</si>
  <si>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</si>
  <si>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</si>
  <si>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</si>
  <si>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</si>
  <si>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</si>
  <si>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</si>
  <si>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</si>
  <si>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</si>
  <si>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</si>
  <si>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</si>
  <si>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</si>
  <si>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</si>
  <si>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</si>
  <si>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</si>
  <si>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</si>
  <si>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</si>
  <si>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</si>
  <si>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</si>
  <si>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</si>
  <si>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</si>
  <si>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</si>
  <si>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</si>
  <si>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</si>
  <si>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</si>
  <si>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</si>
  <si>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</si>
  <si>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</si>
  <si>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</si>
  <si>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</si>
  <si>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</si>
  <si>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</si>
  <si>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</si>
  <si>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</si>
  <si>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</si>
  <si>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</si>
  <si>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</si>
  <si>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</si>
  <si>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</si>
  <si>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</si>
  <si>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</si>
  <si>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</si>
  <si>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</si>
  <si>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</si>
  <si>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</si>
  <si>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</si>
  <si>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</si>
  <si>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</si>
  <si>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</si>
  <si>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</si>
  <si>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</si>
  <si>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</si>
  <si>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</si>
  <si>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</si>
  <si>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</si>
  <si>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</si>
  <si>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</si>
  <si>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</si>
  <si>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</si>
  <si>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</si>
  <si>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</si>
  <si>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</si>
  <si>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</si>
  <si>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</si>
  <si>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</si>
  <si>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</si>
  <si>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</si>
  <si>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</si>
  <si>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</si>
  <si>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</si>
  <si>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</si>
  <si>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</si>
  <si>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</si>
  <si>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</si>
  <si>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</si>
  <si>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</si>
  <si>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</si>
  <si>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</si>
  <si>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</si>
  <si>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</si>
  <si>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</si>
  <si>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</si>
  <si>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</si>
  <si>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</si>
  <si>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</si>
  <si>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</si>
  <si>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</si>
  <si>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</si>
  <si>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</si>
  <si>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</si>
  <si>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</si>
  <si>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</si>
  <si>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</si>
  <si>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</si>
  <si>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</si>
  <si>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</si>
  <si>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</si>
  <si>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</si>
  <si>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</si>
  <si>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</si>
  <si>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</si>
  <si>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</si>
  <si>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</si>
  <si>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</si>
  <si>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</si>
  <si>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</si>
  <si>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</si>
  <si>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</si>
  <si>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</si>
  <si>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</si>
  <si>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</si>
  <si>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</si>
  <si>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</si>
  <si>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</si>
  <si>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</si>
  <si>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</si>
  <si>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</si>
  <si>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</si>
  <si>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</si>
  <si>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</si>
  <si>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</si>
  <si>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</si>
  <si>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</si>
  <si>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</si>
  <si>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</si>
  <si>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</si>
  <si>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</si>
  <si>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</si>
  <si>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</si>
  <si>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</si>
  <si>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</si>
  <si>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</si>
  <si>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</si>
  <si>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</si>
  <si>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</si>
  <si>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</si>
  <si>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</si>
  <si>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</si>
  <si>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</si>
  <si>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</si>
  <si>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</si>
  <si>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</si>
  <si>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</si>
  <si>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</si>
  <si>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</si>
  <si>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</si>
  <si>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</si>
  <si>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</si>
  <si>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</si>
  <si>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</si>
  <si>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</si>
  <si>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</si>
  <si>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</si>
  <si>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</si>
  <si>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</si>
  <si>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</si>
  <si>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</si>
  <si>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</si>
  <si>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</si>
  <si>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</si>
  <si>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</si>
  <si>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</si>
  <si>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</si>
  <si>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</si>
  <si>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</si>
  <si>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</si>
  <si>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</si>
  <si>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</si>
  <si>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</si>
  <si>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</si>
  <si>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</si>
  <si>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</si>
  <si>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</si>
  <si>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</si>
  <si>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</si>
  <si>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</si>
  <si>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</si>
  <si>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</si>
  <si>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</si>
  <si>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</si>
  <si>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</si>
  <si>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</si>
  <si>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</si>
  <si>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</si>
  <si>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</si>
  <si>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</si>
  <si>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</si>
  <si>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</si>
  <si>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</si>
  <si>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</si>
  <si>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</si>
  <si>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</si>
  <si>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</si>
  <si>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</si>
  <si>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</si>
  <si>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</si>
  <si>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</si>
  <si>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</si>
  <si>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</si>
  <si>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</si>
  <si>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</si>
  <si>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</si>
  <si>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</si>
  <si>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</si>
  <si>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</si>
  <si>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</si>
  <si>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</si>
  <si>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</si>
  <si>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</si>
  <si>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</si>
  <si>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</si>
  <si>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</si>
  <si>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</si>
  <si>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</si>
  <si>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</si>
  <si>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</si>
  <si>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</si>
  <si>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</si>
  <si>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</si>
  <si>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</si>
  <si>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</si>
  <si>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</si>
  <si>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</si>
  <si>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</si>
  <si>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</si>
  <si>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</si>
  <si>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</si>
  <si>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</si>
  <si>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</si>
  <si>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</si>
  <si>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</si>
  <si>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</si>
  <si>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</si>
  <si>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</si>
  <si>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</si>
  <si>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</si>
  <si>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</si>
  <si>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</si>
  <si>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</si>
  <si>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</si>
  <si>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</si>
  <si>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</si>
  <si>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</si>
  <si>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</si>
  <si>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</si>
  <si>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</si>
  <si>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</si>
  <si>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</si>
  <si>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</si>
  <si>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</si>
  <si>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</si>
  <si>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</si>
  <si>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</si>
  <si>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</si>
  <si>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</si>
  <si>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</si>
  <si>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</si>
  <si>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</si>
  <si>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</si>
  <si>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</si>
  <si>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</si>
  <si>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</si>
  <si>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</si>
  <si>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</si>
  <si>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</si>
  <si>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</si>
  <si>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</si>
  <si>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</si>
  <si>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</si>
  <si>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</si>
  <si>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</si>
  <si>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</si>
  <si>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</si>
  <si>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</si>
  <si>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</si>
  <si>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</si>
  <si>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</si>
  <si>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</si>
  <si>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</si>
  <si>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</si>
  <si>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</si>
  <si>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</si>
  <si>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</si>
  <si>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</si>
  <si>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</si>
  <si>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</si>
  <si>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</si>
  <si>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</si>
  <si>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</si>
  <si>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</si>
  <si>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</si>
  <si>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</si>
  <si>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</si>
  <si>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</si>
  <si>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</si>
  <si>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</si>
  <si>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</si>
  <si>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</si>
  <si>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</si>
  <si>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</si>
  <si>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</si>
  <si>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</si>
  <si>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</si>
  <si>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</si>
  <si>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</si>
  <si>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</si>
  <si>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</si>
  <si>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</si>
  <si>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</si>
  <si>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</si>
  <si>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</si>
  <si>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</si>
  <si>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</si>
  <si>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</si>
  <si>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</si>
  <si>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</si>
  <si>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</si>
  <si>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</si>
  <si>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</si>
  <si>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</si>
  <si>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</si>
  <si>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</si>
  <si>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</si>
  <si>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</si>
  <si>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</si>
  <si>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</si>
  <si>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</si>
  <si>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</si>
  <si>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</si>
  <si>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</si>
  <si>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</si>
  <si>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</si>
  <si>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</si>
  <si>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</si>
  <si>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</si>
  <si>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</si>
  <si>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</si>
  <si>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</si>
  <si>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</si>
  <si>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</si>
  <si>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</si>
  <si>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</si>
  <si>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</si>
  <si>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</si>
  <si>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</si>
  <si>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</si>
  <si>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</si>
  <si>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</si>
  <si>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</si>
  <si>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</si>
  <si>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</si>
  <si>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</si>
  <si>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</si>
  <si>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</si>
  <si>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</si>
  <si>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</si>
  <si>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</si>
  <si>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</si>
  <si>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</si>
  <si>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</si>
  <si>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</si>
  <si>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</si>
  <si>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</si>
  <si>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</si>
  <si>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</si>
  <si>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</si>
  <si>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</si>
  <si>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</si>
  <si>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</si>
  <si>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</si>
  <si>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</si>
  <si>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</si>
  <si>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</si>
  <si>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</si>
  <si>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</si>
  <si>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</si>
  <si>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</si>
  <si>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</si>
  <si>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</si>
  <si>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</si>
  <si>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</si>
  <si>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</si>
  <si>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</si>
  <si>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</si>
  <si>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</si>
  <si>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</si>
  <si>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</si>
  <si>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</si>
  <si>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</si>
  <si>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</si>
  <si>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</si>
  <si>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</si>
  <si>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</si>
  <si>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</si>
  <si>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</si>
  <si>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</si>
  <si>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</si>
  <si>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</si>
  <si>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</si>
  <si>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</si>
  <si>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</si>
  <si>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</si>
  <si>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</si>
  <si>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</si>
  <si>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</si>
  <si>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</si>
  <si>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</si>
  <si>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</si>
  <si>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</si>
  <si>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</si>
  <si>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</si>
  <si>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</si>
  <si>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</si>
  <si>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</si>
  <si>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</si>
  <si>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</si>
  <si>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</si>
  <si>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</si>
  <si>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</si>
  <si>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</si>
  <si>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</si>
  <si>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</si>
  <si>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</si>
  <si>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</si>
  <si>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</si>
  <si>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</si>
  <si>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</si>
  <si>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</si>
  <si>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</si>
  <si>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</si>
  <si>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</si>
  <si>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</si>
  <si>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</si>
  <si>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</si>
  <si>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</si>
  <si>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</si>
  <si>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</si>
  <si>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</si>
  <si>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</si>
  <si>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</si>
  <si>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</si>
  <si>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</si>
  <si>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</si>
  <si>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</si>
  <si>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</si>
  <si>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</si>
  <si>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</si>
  <si>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</si>
  <si>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</si>
  <si>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</si>
  <si>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</si>
  <si>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</si>
  <si>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</si>
  <si>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</si>
  <si>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</si>
  <si>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</si>
  <si>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</si>
  <si>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</si>
  <si>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</si>
  <si>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</si>
  <si>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</si>
  <si>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</si>
  <si>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</si>
  <si>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</si>
  <si>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</si>
  <si>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</si>
  <si>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</si>
  <si>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</si>
  <si>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</si>
  <si>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</si>
  <si>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</si>
  <si>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</si>
  <si>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</si>
  <si>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</si>
  <si>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</si>
  <si>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</si>
  <si>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</si>
  <si>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</si>
  <si>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</si>
  <si>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</si>
  <si>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</si>
  <si>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</si>
  <si>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</si>
  <si>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</si>
  <si>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</si>
  <si>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</si>
  <si>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</si>
  <si>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</si>
  <si>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</si>
  <si>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</si>
  <si>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</si>
  <si>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</si>
  <si>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</si>
  <si>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</si>
  <si>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</si>
  <si>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</si>
  <si>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</si>
  <si>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</si>
  <si>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</si>
  <si>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</si>
  <si>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</si>
  <si>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</si>
  <si>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</si>
  <si>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</si>
  <si>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</si>
  <si>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</si>
  <si>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</si>
  <si>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</si>
  <si>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</si>
  <si>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</si>
  <si>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</si>
  <si>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</si>
  <si>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</si>
  <si>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</si>
  <si>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</si>
  <si>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</si>
  <si>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</si>
  <si>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</si>
  <si>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</si>
  <si>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</si>
  <si>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</si>
  <si>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</si>
  <si>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</si>
  <si>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</si>
  <si>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</si>
  <si>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</si>
  <si>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</si>
  <si>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</si>
  <si>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</si>
  <si>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</si>
  <si>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</si>
  <si>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</si>
  <si>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</si>
  <si>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</si>
  <si>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</si>
  <si>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</si>
  <si>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</si>
  <si>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</si>
  <si>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</si>
  <si>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</si>
  <si>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</si>
  <si>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</si>
  <si>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</si>
  <si>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</si>
  <si>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</si>
  <si>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</si>
  <si>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</si>
  <si>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</si>
  <si>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</si>
  <si>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</si>
  <si>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</si>
  <si>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</si>
  <si>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</si>
  <si>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</si>
  <si>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</si>
  <si>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</si>
  <si>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</si>
  <si>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</si>
  <si>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</si>
  <si>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</si>
  <si>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</si>
  <si>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</si>
  <si>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</si>
  <si>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</si>
  <si>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</si>
  <si>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</si>
  <si>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</si>
  <si>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</si>
  <si>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</si>
  <si>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</si>
  <si>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</si>
  <si>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</si>
  <si>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</si>
  <si>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</si>
  <si>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</si>
  <si>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</si>
  <si>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</si>
  <si>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</si>
  <si>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</si>
  <si>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</si>
  <si>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</si>
  <si>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</si>
  <si>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</si>
  <si>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</si>
  <si>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</si>
  <si>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</si>
  <si>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</si>
  <si>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</si>
  <si>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</si>
  <si>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</si>
  <si>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</si>
  <si>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</si>
  <si>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</si>
  <si>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</si>
  <si>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</si>
  <si>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</si>
  <si>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</si>
  <si>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</si>
  <si>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</si>
  <si>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</si>
  <si>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</si>
  <si>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</si>
  <si>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</si>
  <si>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</si>
  <si>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</si>
  <si>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</si>
  <si>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</si>
  <si>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</si>
  <si>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</si>
  <si>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</si>
  <si>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</si>
  <si>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</si>
  <si>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</si>
  <si>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</si>
  <si>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</si>
  <si>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</si>
  <si>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</si>
  <si>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</si>
  <si>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</si>
  <si>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</si>
  <si>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</si>
  <si>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</si>
  <si>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</si>
  <si>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</si>
  <si>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</si>
  <si>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</si>
  <si>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</si>
  <si>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</si>
  <si>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</si>
  <si>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</si>
  <si>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</si>
  <si>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</si>
  <si>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</si>
  <si>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</si>
  <si>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</si>
  <si>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</si>
  <si>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</si>
  <si>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</si>
  <si>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</si>
  <si>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</si>
  <si>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</si>
  <si>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</si>
  <si>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</si>
  <si>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</si>
  <si>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</si>
  <si>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</si>
  <si>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</si>
  <si>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</si>
  <si>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</si>
  <si>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</si>
  <si>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</si>
  <si>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</si>
  <si>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</si>
  <si>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</si>
  <si>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</si>
  <si>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</si>
  <si>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</si>
  <si>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</si>
  <si>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</si>
  <si>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</si>
  <si>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</si>
  <si>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</si>
  <si>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</si>
  <si>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</si>
  <si>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</si>
  <si>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</si>
  <si>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</si>
  <si>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</si>
  <si>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</si>
  <si>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</si>
  <si>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</si>
  <si>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</si>
  <si>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</si>
  <si>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</si>
  <si>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</si>
  <si>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</si>
  <si>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</si>
  <si>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</si>
  <si>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</si>
  <si>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</si>
  <si>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</si>
  <si>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</si>
  <si>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</si>
  <si>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</si>
  <si>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</si>
  <si>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</si>
  <si>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</si>
  <si>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</si>
  <si>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</si>
  <si>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</si>
  <si>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</si>
  <si>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</si>
  <si>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</si>
  <si>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</si>
  <si>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</si>
  <si>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</si>
  <si>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</si>
  <si>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</si>
  <si>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</si>
  <si>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</si>
  <si>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</si>
  <si>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</si>
  <si>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</si>
  <si>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</si>
  <si>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</si>
  <si>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</si>
  <si>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</si>
  <si>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</si>
  <si>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</si>
  <si>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</si>
  <si>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</si>
  <si>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</si>
  <si>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</si>
  <si>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</si>
  <si>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</si>
  <si>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</si>
  <si>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</si>
  <si>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</si>
  <si>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</si>
  <si>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</si>
  <si>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</si>
  <si>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</si>
  <si>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</si>
  <si>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</si>
  <si>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</si>
  <si>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</si>
  <si>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</si>
  <si>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</si>
  <si>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</si>
  <si>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</si>
  <si>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</si>
  <si>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</si>
  <si>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</si>
  <si>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</si>
  <si>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</si>
  <si>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</si>
  <si>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</si>
  <si>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</si>
  <si>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</si>
  <si>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</si>
  <si>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</si>
  <si>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</si>
  <si>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</si>
  <si>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</si>
  <si>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</si>
  <si>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</si>
  <si>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</si>
  <si>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</si>
  <si>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</si>
  <si>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</si>
  <si>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</si>
  <si>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</si>
  <si>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</si>
  <si>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</si>
  <si>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</si>
  <si>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</si>
  <si>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</si>
  <si>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</si>
  <si>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</si>
  <si>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</si>
  <si>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</si>
  <si>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</si>
  <si>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</si>
  <si>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</si>
  <si>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</si>
  <si>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</si>
  <si>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</si>
  <si>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</si>
  <si>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</si>
  <si>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</si>
  <si>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</si>
  <si>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</si>
  <si>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</si>
  <si>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</si>
  <si>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</si>
  <si>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</si>
  <si>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</si>
  <si>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</si>
  <si>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</si>
  <si>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</si>
  <si>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</si>
  <si>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</si>
  <si>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</si>
  <si>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</si>
  <si>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</si>
  <si>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</si>
  <si>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</si>
  <si>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</si>
  <si>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</si>
  <si>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</si>
  <si>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</si>
  <si>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</si>
  <si>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</si>
  <si>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</si>
  <si>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</si>
  <si>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</si>
  <si>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</si>
  <si>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</si>
  <si>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</si>
  <si>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</si>
  <si>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</si>
  <si>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</si>
  <si>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</si>
  <si>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</si>
  <si>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</si>
  <si>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</si>
  <si>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</si>
  <si>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</si>
  <si>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</si>
  <si>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</si>
  <si>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</si>
  <si>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</si>
  <si>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</si>
  <si>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</si>
  <si>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</si>
  <si>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</si>
  <si>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</si>
  <si>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</si>
  <si>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</si>
  <si>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</si>
  <si>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</si>
  <si>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</si>
  <si>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</si>
  <si>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</si>
  <si>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</si>
  <si>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</si>
  <si>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</si>
  <si>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</si>
  <si>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</si>
  <si>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</si>
  <si>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</si>
  <si>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</si>
  <si>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</si>
  <si>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</si>
  <si>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</si>
  <si>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</si>
  <si>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</si>
  <si>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</si>
  <si>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</si>
  <si>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</si>
  <si>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</si>
  <si>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</si>
  <si>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</si>
  <si>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</si>
  <si>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</si>
  <si>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</si>
  <si>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</si>
  <si>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</si>
  <si>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</si>
  <si>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</si>
  <si>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</si>
  <si>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</si>
  <si>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</si>
  <si>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</si>
  <si>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</si>
  <si>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</si>
  <si>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</si>
  <si>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</si>
  <si>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</si>
  <si>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</si>
  <si>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</si>
  <si>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</si>
  <si>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</si>
  <si>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</si>
  <si>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</si>
  <si>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</si>
  <si>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</si>
  <si>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</si>
  <si>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</si>
  <si>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</si>
  <si>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</si>
  <si>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</si>
  <si>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</si>
  <si>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</si>
  <si>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</si>
  <si>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</si>
  <si>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</si>
  <si>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</si>
  <si>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</si>
  <si>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</si>
  <si>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</si>
  <si>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</si>
  <si>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</si>
  <si>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</si>
  <si>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</si>
  <si>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</si>
  <si>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</si>
  <si>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</si>
  <si>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</si>
  <si>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</si>
  <si>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</si>
  <si>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</si>
  <si>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</si>
  <si>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</si>
  <si>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</si>
  <si>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</si>
  <si>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</si>
  <si>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</si>
  <si>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</si>
  <si>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</si>
  <si>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</si>
  <si>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</si>
  <si>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</si>
  <si>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</si>
  <si>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</si>
  <si>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</si>
  <si>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</si>
  <si>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</si>
  <si>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</si>
  <si>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</si>
  <si>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</si>
  <si>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</si>
  <si>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</si>
  <si>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</si>
  <si>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</si>
  <si>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</si>
  <si>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</si>
  <si>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</si>
  <si>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</si>
  <si>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</si>
  <si>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</si>
  <si>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</si>
  <si>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</si>
  <si>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</si>
  <si>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</si>
  <si>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</si>
  <si>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</si>
  <si>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</si>
  <si>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</si>
  <si>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</si>
  <si>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</si>
  <si>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</si>
  <si>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</si>
  <si>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</si>
  <si>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</si>
  <si>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</si>
  <si>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</si>
  <si>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</si>
  <si>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</si>
  <si>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</si>
  <si>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</si>
  <si>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</si>
  <si>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</si>
  <si>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</si>
  <si>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</si>
  <si>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</si>
  <si>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</si>
  <si>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</si>
  <si>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</si>
  <si>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</si>
  <si>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</si>
  <si>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</si>
  <si>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</si>
  <si>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</si>
  <si>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</si>
  <si>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</si>
  <si>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</si>
  <si>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</si>
  <si>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</si>
  <si>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</si>
  <si>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</si>
  <si>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</si>
  <si>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</si>
  <si>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</si>
  <si>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</si>
  <si>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</si>
  <si>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</si>
  <si>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</si>
  <si>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</si>
  <si>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</si>
  <si>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</si>
  <si>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</si>
  <si>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</si>
  <si>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</si>
  <si>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</si>
  <si>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</si>
  <si>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</si>
  <si>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</si>
  <si>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</si>
  <si>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</si>
  <si>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</si>
  <si>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</si>
  <si>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</si>
  <si>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</si>
  <si>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</si>
  <si>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</si>
  <si>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</si>
  <si>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</si>
  <si>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</si>
  <si>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</si>
  <si>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</si>
  <si>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</si>
  <si>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</si>
  <si>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</si>
  <si>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</si>
  <si>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</si>
  <si>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</si>
  <si>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</si>
  <si>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</si>
  <si>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</si>
  <si>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</si>
  <si>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</si>
  <si>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</si>
  <si>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</si>
  <si>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</si>
  <si>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</si>
  <si>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</si>
  <si>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</si>
  <si>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</si>
  <si>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</si>
  <si>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</si>
  <si>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</si>
  <si>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</si>
  <si>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</si>
  <si>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</si>
  <si>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</si>
  <si>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</si>
  <si>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</si>
  <si>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</si>
  <si>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</si>
  <si>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</si>
  <si>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</si>
  <si>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</si>
  <si>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</si>
  <si>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</si>
  <si>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</si>
  <si>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</si>
  <si>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</si>
  <si>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</si>
  <si>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</si>
  <si>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</si>
  <si>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</si>
  <si>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</si>
  <si>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</si>
  <si>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</si>
  <si>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</si>
  <si>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</si>
  <si>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</si>
  <si>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</si>
  <si>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</si>
  <si>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</si>
  <si>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</si>
  <si>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</si>
  <si>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</si>
  <si>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</si>
  <si>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</si>
  <si>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</si>
  <si>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</si>
  <si>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</si>
  <si>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</si>
  <si>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</si>
  <si>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</si>
  <si>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</si>
  <si>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</si>
  <si>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</si>
  <si>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</si>
  <si>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</si>
  <si>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</si>
  <si>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</si>
  <si>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</si>
  <si>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</si>
  <si>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</si>
  <si>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</si>
  <si>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</si>
  <si>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</si>
  <si>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</si>
  <si>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</si>
  <si>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</si>
  <si>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</si>
  <si>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</si>
  <si>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</si>
  <si>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</si>
  <si>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</si>
  <si>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</si>
  <si>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</si>
  <si>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</si>
  <si>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</si>
  <si>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</si>
  <si>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</si>
  <si>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</si>
  <si>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</si>
  <si>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</si>
  <si>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</si>
  <si>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</si>
  <si>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</si>
  <si>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</si>
  <si>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</si>
  <si>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</si>
  <si>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</si>
  <si>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</si>
  <si>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</si>
  <si>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</si>
  <si>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</si>
  <si>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</si>
  <si>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</si>
  <si>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</si>
  <si>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</si>
  <si>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</si>
  <si>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</si>
  <si>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</si>
  <si>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</si>
  <si>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</si>
  <si>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</si>
  <si>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</si>
  <si>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</si>
  <si>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</si>
  <si>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</si>
  <si>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</si>
  <si>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</si>
  <si>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</si>
  <si>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</si>
  <si>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</si>
  <si>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</si>
  <si>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</si>
  <si>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</si>
  <si>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</si>
  <si>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</si>
  <si>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</si>
  <si>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</si>
  <si>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</si>
  <si>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</si>
  <si>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</si>
  <si>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</si>
  <si>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</si>
  <si>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</si>
  <si>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</si>
  <si>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</si>
  <si>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</si>
  <si>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</si>
  <si>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</si>
  <si>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</si>
  <si>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</si>
  <si>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</si>
  <si>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</si>
  <si>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</si>
  <si>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</si>
  <si>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</si>
  <si>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</si>
  <si>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</si>
  <si>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</si>
  <si>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</si>
  <si>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</si>
  <si>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</si>
  <si>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</si>
  <si>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</si>
  <si>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</si>
  <si>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</si>
  <si>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</si>
  <si>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</si>
  <si>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</si>
  <si>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</si>
  <si>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</si>
  <si>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</si>
  <si>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</si>
  <si>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</si>
  <si>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</si>
  <si>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</si>
  <si>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</si>
  <si>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</si>
  <si>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</si>
  <si>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</si>
  <si>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</si>
  <si>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</si>
  <si>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</si>
  <si>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</si>
  <si>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</si>
  <si>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</si>
  <si>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</si>
  <si>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</si>
  <si>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</si>
  <si>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</si>
  <si>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</si>
  <si>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</si>
  <si>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</si>
  <si>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</si>
  <si>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</si>
  <si>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</si>
  <si>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</si>
  <si>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</si>
  <si>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</si>
  <si>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</si>
  <si>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</si>
  <si>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</si>
  <si>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</si>
  <si>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</si>
  <si>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</si>
  <si>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</si>
  <si>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</si>
  <si>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</si>
  <si>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</si>
  <si>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</si>
  <si>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</si>
  <si>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</si>
  <si>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</si>
  <si>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</si>
  <si>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</si>
  <si>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</si>
  <si>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</si>
  <si>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</si>
  <si>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</si>
  <si>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</si>
  <si>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</si>
  <si>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</si>
  <si>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</si>
  <si>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</si>
  <si>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</si>
  <si>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</si>
  <si>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</si>
  <si>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</si>
  <si>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</si>
  <si>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</si>
  <si>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</si>
  <si>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</si>
  <si>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</si>
  <si>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</si>
  <si>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</si>
  <si>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</si>
  <si>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</si>
  <si>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</si>
  <si>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</si>
  <si>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</si>
  <si>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</si>
  <si>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</si>
  <si>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</si>
  <si>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</si>
  <si>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</si>
  <si>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</si>
  <si>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</si>
  <si>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</si>
  <si>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</si>
  <si>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</si>
  <si>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</si>
  <si>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</si>
  <si>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</si>
  <si>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</si>
  <si>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</si>
  <si>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</si>
  <si>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</si>
  <si>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</si>
  <si>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</si>
  <si>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</si>
  <si>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</si>
  <si>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</si>
  <si>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</si>
  <si>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</si>
  <si>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</si>
  <si>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</si>
  <si>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</si>
  <si>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</si>
  <si>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</si>
  <si>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</si>
  <si>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</si>
  <si>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</si>
  <si>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</si>
  <si>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</si>
  <si>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</si>
  <si>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</si>
  <si>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</si>
  <si>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</si>
  <si>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</si>
  <si>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</si>
  <si>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</si>
  <si>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</si>
  <si>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</si>
  <si>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</si>
  <si>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</si>
  <si>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</si>
  <si>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</si>
  <si>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</si>
  <si>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</si>
  <si>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</si>
  <si>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</si>
  <si>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</si>
  <si>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</si>
  <si>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</si>
  <si>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</si>
  <si>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</si>
  <si>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</si>
  <si>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</si>
  <si>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</si>
  <si>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</si>
  <si>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</si>
  <si>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</si>
  <si>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</si>
  <si>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</si>
  <si>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</si>
  <si>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</si>
  <si>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</si>
  <si>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</si>
  <si>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</si>
  <si>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</si>
  <si>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</si>
  <si>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</si>
  <si>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</si>
  <si>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</si>
  <si>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</si>
  <si>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</si>
  <si>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</si>
  <si>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</si>
  <si>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</si>
  <si>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</si>
  <si>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</si>
  <si>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</si>
  <si>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</si>
  <si>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</si>
  <si>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</si>
  <si>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</si>
  <si>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</si>
  <si>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</si>
  <si>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</si>
  <si>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</si>
  <si>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</si>
  <si>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</si>
  <si>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</si>
  <si>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</si>
  <si>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</si>
  <si>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</si>
  <si>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</si>
  <si>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</si>
  <si>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</si>
  <si>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</si>
  <si>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</si>
  <si>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</si>
  <si>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</si>
  <si>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</si>
  <si>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</si>
  <si>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</si>
  <si>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</si>
  <si>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</si>
  <si>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</si>
  <si>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</si>
  <si>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</si>
  <si>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</si>
  <si>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</si>
  <si>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</si>
  <si>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</si>
  <si>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</si>
  <si>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</si>
  <si>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</si>
  <si>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</si>
  <si>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</si>
  <si>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</si>
  <si>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</si>
  <si>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</si>
  <si>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</si>
  <si>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</si>
  <si>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</si>
  <si>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</si>
  <si>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</si>
  <si>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</si>
  <si>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</si>
  <si>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</si>
  <si>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</si>
  <si>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</si>
  <si>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</si>
  <si>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</si>
  <si>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</si>
  <si>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</si>
  <si>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</si>
  <si>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</si>
  <si>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</si>
  <si>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</si>
  <si>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</si>
  <si>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</si>
  <si>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</si>
  <si>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</si>
  <si>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</si>
  <si>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</si>
  <si>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</si>
  <si>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</si>
  <si>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</si>
  <si>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</si>
  <si>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</si>
  <si>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</si>
  <si>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</si>
  <si>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</si>
  <si>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</si>
  <si>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</si>
  <si>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</si>
  <si>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</si>
  <si>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</si>
  <si>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</si>
  <si>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</si>
  <si>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</si>
  <si>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</si>
  <si>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</si>
  <si>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</si>
  <si>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</si>
  <si>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</si>
  <si>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</si>
  <si>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</si>
  <si>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</si>
  <si>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</si>
  <si>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</si>
  <si>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</si>
  <si>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</si>
  <si>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</si>
  <si>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</si>
  <si>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</si>
  <si>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</si>
  <si>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</si>
  <si>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</si>
  <si>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</si>
  <si>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</si>
  <si>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</si>
  <si>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</si>
  <si>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</si>
  <si>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</si>
  <si>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</si>
  <si>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</si>
  <si>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</si>
  <si>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</si>
  <si>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</si>
  <si>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</si>
  <si>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</si>
  <si>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</si>
  <si>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</si>
  <si>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</si>
  <si>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</si>
  <si>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</si>
  <si>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</si>
  <si>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</si>
  <si>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</si>
  <si>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</si>
  <si>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</si>
  <si>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</si>
  <si>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</si>
  <si>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</si>
  <si>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</si>
  <si>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</si>
  <si>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</si>
  <si>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</si>
  <si>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</si>
  <si>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</si>
  <si>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</si>
  <si>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</si>
  <si>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</si>
  <si>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</si>
  <si>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</si>
  <si>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</si>
  <si>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</si>
  <si>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</si>
  <si>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</si>
  <si>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</si>
  <si>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</si>
  <si>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</si>
  <si>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</si>
  <si>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</si>
  <si>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</si>
  <si>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</si>
  <si>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</si>
  <si>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</si>
  <si>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</si>
  <si>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</si>
  <si>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</si>
  <si>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</si>
  <si>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</si>
  <si>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</si>
  <si>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</si>
  <si>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</si>
  <si>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</si>
  <si>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</si>
  <si>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</si>
  <si>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</si>
  <si>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</si>
  <si>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</si>
  <si>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</si>
  <si>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</si>
  <si>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</si>
  <si>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</si>
  <si>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</si>
  <si>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</si>
  <si>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</si>
  <si>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</si>
  <si>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</si>
  <si>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</si>
  <si>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</si>
  <si>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</si>
  <si>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</si>
  <si>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</si>
  <si>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</si>
  <si>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</si>
  <si>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</si>
  <si>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</si>
  <si>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</si>
  <si>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</si>
  <si>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</si>
  <si>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</si>
  <si>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</si>
  <si>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</si>
  <si>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</si>
  <si>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</si>
  <si>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</si>
  <si>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</si>
  <si>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</si>
  <si>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</si>
  <si>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</si>
  <si>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</si>
  <si>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</si>
  <si>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</si>
  <si>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</si>
  <si>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</si>
  <si>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</si>
  <si>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</si>
  <si>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</si>
  <si>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</si>
  <si>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</si>
  <si>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</si>
  <si>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</si>
  <si>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</si>
  <si>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</si>
  <si>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</si>
  <si>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</si>
  <si>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</si>
  <si>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</si>
  <si>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</si>
  <si>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</si>
  <si>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</si>
  <si>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</si>
  <si>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</si>
  <si>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</si>
  <si>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</si>
  <si>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</si>
  <si>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</si>
  <si>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</si>
  <si>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</si>
  <si>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</si>
  <si>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</si>
  <si>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</si>
  <si>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</si>
  <si>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</si>
  <si>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</si>
  <si>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</si>
  <si>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</si>
  <si>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</si>
  <si>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</si>
  <si>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</si>
  <si>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</si>
  <si>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</si>
  <si>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</si>
  <si>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</si>
  <si>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</si>
  <si>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</si>
  <si>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</si>
  <si>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</si>
  <si>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</si>
  <si>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</si>
  <si>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</si>
  <si>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</si>
  <si>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</si>
  <si>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</si>
  <si>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</si>
  <si>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</si>
  <si>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</si>
  <si>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</si>
  <si>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</si>
  <si>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</si>
  <si>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</si>
  <si>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</si>
  <si>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</si>
  <si>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</si>
  <si>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</si>
  <si>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</si>
  <si>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</si>
  <si>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</si>
  <si>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</si>
  <si>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</si>
  <si>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</si>
  <si>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</si>
  <si>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</si>
  <si>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</si>
  <si>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</si>
  <si>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</si>
  <si>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</si>
  <si>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</si>
  <si>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</si>
  <si>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</si>
  <si>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</si>
  <si>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</si>
  <si>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</si>
  <si>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</si>
  <si>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</si>
  <si>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</si>
  <si>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</si>
  <si>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</si>
  <si>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</si>
  <si>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</si>
  <si>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</si>
  <si>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</si>
  <si>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</si>
  <si>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</si>
  <si>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</si>
  <si>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</si>
  <si>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</si>
  <si>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</si>
  <si>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</si>
  <si>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</si>
  <si>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</si>
  <si>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</si>
  <si>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</si>
  <si>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</si>
  <si>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</si>
  <si>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</si>
  <si>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</si>
  <si>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</si>
  <si>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</si>
  <si>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</si>
  <si>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</si>
  <si>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</si>
  <si>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</si>
  <si>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</si>
  <si>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</si>
  <si>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</si>
  <si>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</si>
  <si>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</si>
  <si>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</si>
  <si>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</si>
  <si>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</si>
  <si>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</si>
  <si>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</si>
  <si>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</si>
  <si>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</si>
  <si>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</si>
  <si>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</si>
  <si>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</si>
  <si>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</si>
  <si>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</si>
  <si>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</si>
  <si>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</si>
  <si>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</si>
  <si>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</si>
  <si>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</si>
  <si>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</si>
  <si>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</si>
  <si>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</si>
  <si>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</si>
  <si>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</si>
  <si>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</si>
  <si>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</si>
  <si>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</si>
  <si>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</si>
  <si>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</si>
  <si>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</si>
  <si>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</si>
  <si>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</si>
  <si>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</si>
  <si>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</si>
  <si>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</si>
  <si>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</si>
  <si>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</si>
  <si>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</si>
  <si>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</si>
  <si>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</si>
  <si>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</si>
  <si>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</si>
  <si>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</si>
  <si>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</si>
  <si>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</si>
  <si>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</si>
  <si>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</si>
  <si>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</si>
  <si>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</si>
  <si>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</si>
  <si>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</si>
  <si>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</si>
  <si>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</si>
  <si>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</si>
  <si>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</si>
  <si>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</si>
  <si>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</si>
  <si>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</si>
  <si>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</si>
  <si>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</si>
  <si>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</si>
  <si>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</si>
  <si>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</si>
  <si>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</si>
  <si>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</si>
  <si>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</si>
  <si>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</si>
  <si>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</si>
  <si>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</si>
  <si>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</si>
  <si>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</si>
  <si>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</si>
  <si>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</si>
  <si>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</si>
  <si>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</si>
  <si>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</si>
  <si>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</si>
  <si>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</si>
  <si>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</si>
  <si>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</si>
  <si>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</si>
  <si>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</si>
  <si>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</si>
  <si>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</si>
  <si>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</si>
  <si>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</si>
  <si>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</si>
  <si>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</si>
  <si>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</si>
  <si>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</si>
  <si>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</si>
  <si>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</si>
  <si>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</si>
  <si>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</si>
  <si>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</si>
  <si>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</si>
  <si>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</si>
  <si>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</si>
  <si>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</si>
  <si>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</si>
  <si>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</si>
  <si>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</si>
  <si>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</si>
  <si>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</si>
  <si>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</si>
  <si>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</si>
  <si>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</si>
  <si>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</si>
  <si>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</si>
  <si>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</si>
  <si>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</si>
  <si>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</si>
  <si>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</si>
  <si>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</si>
  <si>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</si>
  <si>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</si>
  <si>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</si>
  <si>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</si>
  <si>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</si>
  <si>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</si>
  <si>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</si>
  <si>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</si>
  <si>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</si>
  <si>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</si>
  <si>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</si>
  <si>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</si>
  <si>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</si>
  <si>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</si>
  <si>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</si>
  <si>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</si>
  <si>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</si>
  <si>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</si>
  <si>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</si>
  <si>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</si>
  <si>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</si>
  <si>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</si>
  <si>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</si>
  <si>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</si>
  <si>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</si>
  <si>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</si>
  <si>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</si>
  <si>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</si>
  <si>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</si>
  <si>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</si>
  <si>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</si>
  <si>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</si>
  <si>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</si>
  <si>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</si>
  <si>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</si>
  <si>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</si>
  <si>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</si>
  <si>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</si>
  <si>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</si>
  <si>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</si>
  <si>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</si>
  <si>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</si>
  <si>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</si>
  <si>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</si>
  <si>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</si>
  <si>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</si>
  <si>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</si>
  <si>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</si>
  <si>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</si>
  <si>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</si>
  <si>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</si>
  <si>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</si>
  <si>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</si>
  <si>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</si>
  <si>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</si>
  <si>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</si>
  <si>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</si>
  <si>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</si>
  <si>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</si>
  <si>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</si>
  <si>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</si>
  <si>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</si>
  <si>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</si>
  <si>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</si>
  <si>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</si>
  <si>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</si>
  <si>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</si>
  <si>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</si>
  <si>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</si>
  <si>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</si>
  <si>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</si>
  <si>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</si>
  <si>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</si>
  <si>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</si>
  <si>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</si>
  <si>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</si>
  <si>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</si>
  <si>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</si>
  <si>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</si>
  <si>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</si>
  <si>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</si>
  <si>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</si>
  <si>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</si>
  <si>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</si>
  <si>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</si>
  <si>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</si>
  <si>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</si>
  <si>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</si>
  <si>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</si>
  <si>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</si>
  <si>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</si>
  <si>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</si>
  <si>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</si>
  <si>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</si>
  <si>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</si>
  <si>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</si>
  <si>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</si>
  <si>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</si>
  <si>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</si>
  <si>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</si>
  <si>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</si>
  <si>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</si>
  <si>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</si>
  <si>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</si>
  <si>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</si>
  <si>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</si>
  <si>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</si>
  <si>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</si>
  <si>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</si>
  <si>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</si>
  <si>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</si>
  <si>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</si>
  <si>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</si>
  <si>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</si>
  <si>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</si>
  <si>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</si>
  <si>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</si>
  <si>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</si>
  <si>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</si>
  <si>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</si>
  <si>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</si>
  <si>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</si>
  <si>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</si>
  <si>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</si>
  <si>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</si>
  <si>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</si>
  <si>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</si>
  <si>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</si>
  <si>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</si>
  <si>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</si>
  <si>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</si>
  <si>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</si>
  <si>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</si>
  <si>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</si>
  <si>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</si>
  <si>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</si>
  <si>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</si>
  <si>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</si>
  <si>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</si>
  <si>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</si>
  <si>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</si>
  <si>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</si>
  <si>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</si>
  <si>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</si>
  <si>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</si>
  <si>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</si>
  <si>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</si>
  <si>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</si>
  <si>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</si>
  <si>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</si>
  <si>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</si>
  <si>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</si>
  <si>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</si>
  <si>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</si>
  <si>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</si>
  <si>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</si>
  <si>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</si>
  <si>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</si>
  <si>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</si>
  <si>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</si>
  <si>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</si>
  <si>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</si>
  <si>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</si>
  <si>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</si>
  <si>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</si>
  <si>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</si>
  <si>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</si>
  <si>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</si>
  <si>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</si>
  <si>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</si>
  <si>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</si>
  <si>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</si>
  <si>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</si>
  <si>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</si>
  <si>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</si>
  <si>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</si>
  <si>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</si>
  <si>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</si>
  <si>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</si>
  <si>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</si>
  <si>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</si>
  <si>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</si>
  <si>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</si>
  <si>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</si>
  <si>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</si>
  <si>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</si>
  <si>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</si>
  <si>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</si>
  <si>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</si>
  <si>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</si>
  <si>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</si>
  <si>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</si>
  <si>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</si>
  <si>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</si>
  <si>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</si>
  <si>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</si>
  <si>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</si>
  <si>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</si>
  <si>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</si>
  <si>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</si>
  <si>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</si>
  <si>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</si>
  <si>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</si>
  <si>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</si>
  <si>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</si>
  <si>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</si>
  <si>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</si>
  <si>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</si>
  <si>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</si>
  <si>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</si>
  <si>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</si>
  <si>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</si>
  <si>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</si>
  <si>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</si>
  <si>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</si>
  <si>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</si>
  <si>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</si>
  <si>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</si>
  <si>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</si>
  <si>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</si>
  <si>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</si>
  <si>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</si>
  <si>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</si>
  <si>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</si>
  <si>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</si>
  <si>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</si>
  <si>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</si>
  <si>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</si>
  <si>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</si>
  <si>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</si>
  <si>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</si>
  <si>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</si>
  <si>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</si>
  <si>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</si>
  <si>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</si>
  <si>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</si>
  <si>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</si>
  <si>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</si>
  <si>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</si>
  <si>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</si>
  <si>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</si>
  <si>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</si>
  <si>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</si>
  <si>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</si>
  <si>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</si>
  <si>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</si>
  <si>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</si>
  <si>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</si>
  <si>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</si>
  <si>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</si>
  <si>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</si>
  <si>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</si>
  <si>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</si>
  <si>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</si>
  <si>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</si>
  <si>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</si>
  <si>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</si>
  <si>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</si>
  <si>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</si>
  <si>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</si>
  <si>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</si>
  <si>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</si>
  <si>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</si>
  <si>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</si>
  <si>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</si>
  <si>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</si>
  <si>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</si>
  <si>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</si>
  <si>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</si>
  <si>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</si>
  <si>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</si>
  <si>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</si>
  <si>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</si>
  <si>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</si>
  <si>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</si>
  <si>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</si>
  <si>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</si>
  <si>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</si>
  <si>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</si>
  <si>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</si>
  <si>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</si>
  <si>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</si>
  <si>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</si>
  <si>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</si>
  <si>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</si>
  <si>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</si>
  <si>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</si>
  <si>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</si>
  <si>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</si>
  <si>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</si>
  <si>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</si>
  <si>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</si>
  <si>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</si>
  <si>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</si>
  <si>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</si>
  <si>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</si>
  <si>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</si>
  <si>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</si>
  <si>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</si>
  <si>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</si>
  <si>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</si>
  <si>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</si>
  <si>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</si>
  <si>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</si>
  <si>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</si>
  <si>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</si>
  <si>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</si>
  <si>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</si>
  <si>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</si>
  <si>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</si>
  <si>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</si>
  <si>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</si>
  <si>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</si>
  <si>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</si>
  <si>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</si>
  <si>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</si>
  <si>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</si>
  <si>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</si>
  <si>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</si>
  <si>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</si>
  <si>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</si>
  <si>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</si>
  <si>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</si>
  <si>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</si>
  <si>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</si>
  <si>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</si>
  <si>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</si>
  <si>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</si>
  <si>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</si>
  <si>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</si>
  <si>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</si>
  <si>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</si>
  <si>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</si>
  <si>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</si>
  <si>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</si>
  <si>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</si>
  <si>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</si>
  <si>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</si>
  <si>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</si>
  <si>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</si>
  <si>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</si>
  <si>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</si>
  <si>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</si>
  <si>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</si>
  <si>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</si>
  <si>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</si>
  <si>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</si>
  <si>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</si>
  <si>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</si>
  <si>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</si>
  <si>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</si>
  <si>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</si>
  <si>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</si>
  <si>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</si>
  <si>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</si>
  <si>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</si>
  <si>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</si>
  <si>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</si>
  <si>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</si>
  <si>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</si>
  <si>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</si>
  <si>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</si>
  <si>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</si>
  <si>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</si>
  <si>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</si>
  <si>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</si>
  <si>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</si>
  <si>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</si>
  <si>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</si>
  <si>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</si>
  <si>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</si>
  <si>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</si>
  <si>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</si>
  <si>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</si>
  <si>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</si>
  <si>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</si>
  <si>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</si>
  <si>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</si>
  <si>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</si>
  <si>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</si>
  <si>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</si>
  <si>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</si>
  <si>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</si>
  <si>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</si>
  <si>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</si>
  <si>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</si>
  <si>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</si>
  <si>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</si>
  <si>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</si>
  <si>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</si>
  <si>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</si>
  <si>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</si>
  <si>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</si>
  <si>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</si>
  <si>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</si>
  <si>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</si>
  <si>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</si>
  <si>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</si>
  <si>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</si>
  <si>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</si>
  <si>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</si>
  <si>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</si>
  <si>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</si>
  <si>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</si>
  <si>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</si>
  <si>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</si>
  <si>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</si>
  <si>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</si>
  <si>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</si>
  <si>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</si>
  <si>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</si>
  <si>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</si>
  <si>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</si>
  <si>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</si>
  <si>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</si>
  <si>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</si>
  <si>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</si>
  <si>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</si>
  <si>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</si>
  <si>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</si>
  <si>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</si>
  <si>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</si>
  <si>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</si>
  <si>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</si>
  <si>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</si>
  <si>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</si>
  <si>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</si>
  <si>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</si>
  <si>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</si>
  <si>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</si>
  <si>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</si>
  <si>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</si>
  <si>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</si>
  <si>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</si>
  <si>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</si>
  <si>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</si>
  <si>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</si>
  <si>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</si>
  <si>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</si>
  <si>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</si>
  <si>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</si>
  <si>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</si>
  <si>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</si>
  <si>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</si>
  <si>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</si>
  <si>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</si>
  <si>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</si>
  <si>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</si>
  <si>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</si>
  <si>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</si>
  <si>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</si>
  <si>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</si>
  <si>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</si>
  <si>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</si>
  <si>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</si>
  <si>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</si>
  <si>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</si>
  <si>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</si>
  <si>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</si>
  <si>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</si>
  <si>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</si>
  <si>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</si>
  <si>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</si>
  <si>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</si>
  <si>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</si>
  <si>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</si>
  <si>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</si>
  <si>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</si>
  <si>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</si>
  <si>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</si>
  <si>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</si>
  <si>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</si>
  <si>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</si>
  <si>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</si>
  <si>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</si>
  <si>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</si>
  <si>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</si>
  <si>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</si>
  <si>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</si>
  <si>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</si>
  <si>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</si>
  <si>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</si>
  <si>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</si>
  <si>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</si>
  <si>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</si>
  <si>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</si>
  <si>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</si>
  <si>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</si>
  <si>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</si>
  <si>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</si>
  <si>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</si>
  <si>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</si>
  <si>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</si>
  <si>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</si>
  <si>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</si>
  <si>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</si>
  <si>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</si>
  <si>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</si>
  <si>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</si>
  <si>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</si>
  <si>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</si>
  <si>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</si>
  <si>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</si>
  <si>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</si>
  <si>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</si>
  <si>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</si>
  <si>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</si>
  <si>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</si>
  <si>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</si>
  <si>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</si>
  <si>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</si>
  <si>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</si>
  <si>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</si>
  <si>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</si>
  <si>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</si>
  <si>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</si>
  <si>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</si>
  <si>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</si>
  <si>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</si>
  <si>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</si>
  <si>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</si>
  <si>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</si>
  <si>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</si>
  <si>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</si>
  <si>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</si>
  <si>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</si>
  <si>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</si>
  <si>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</si>
  <si>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</si>
  <si>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</si>
  <si>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</si>
  <si>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</si>
  <si>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</si>
  <si>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</si>
  <si>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</si>
  <si>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</si>
  <si>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</si>
  <si>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</si>
  <si>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</si>
  <si>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</si>
  <si>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</si>
  <si>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</si>
  <si>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</si>
  <si>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</si>
  <si>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</si>
  <si>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</si>
  <si>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</si>
  <si>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</si>
  <si>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</si>
  <si>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</si>
  <si>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</si>
  <si>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</si>
  <si>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</si>
  <si>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</si>
  <si>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</si>
  <si>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</si>
  <si>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</si>
  <si>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</si>
  <si>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</si>
  <si>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</si>
  <si>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</si>
  <si>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</si>
  <si>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</si>
  <si>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</si>
  <si>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</si>
  <si>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</si>
  <si>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</si>
  <si>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</si>
  <si>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</si>
  <si>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</si>
  <si>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</si>
  <si>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</si>
  <si>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</si>
  <si>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</si>
  <si>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</si>
  <si>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</si>
  <si>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</si>
  <si>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</si>
  <si>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</si>
  <si>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</si>
  <si>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</si>
  <si>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</si>
  <si>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</si>
  <si>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</si>
  <si>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</si>
  <si>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</si>
  <si>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</si>
  <si>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</si>
  <si>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</si>
  <si>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</si>
  <si>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</si>
  <si>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</si>
  <si>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</si>
  <si>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</si>
  <si>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</si>
  <si>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</si>
  <si>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</si>
  <si>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</si>
  <si>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</si>
  <si>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</si>
  <si>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</si>
  <si>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</si>
  <si>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</si>
  <si>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</si>
  <si>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</si>
  <si>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</si>
  <si>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</si>
  <si>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</si>
  <si>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</si>
  <si>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</si>
  <si>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</si>
  <si>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</si>
  <si>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</si>
  <si>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</si>
  <si>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</si>
  <si>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</si>
  <si>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</si>
  <si>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</si>
  <si>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</si>
  <si>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</si>
  <si>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</si>
  <si>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</si>
  <si>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</si>
  <si>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</si>
  <si>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</si>
  <si>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</si>
  <si>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</si>
  <si>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</si>
  <si>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</si>
  <si>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</si>
  <si>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</si>
  <si>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</si>
  <si>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</si>
  <si>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</si>
  <si>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</si>
  <si>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</si>
  <si>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</si>
  <si>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</si>
  <si>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</si>
  <si>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</si>
  <si>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</si>
  <si>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</si>
  <si>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</si>
  <si>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</si>
  <si>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</si>
  <si>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</si>
  <si>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</si>
  <si>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</si>
  <si>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</si>
  <si>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</si>
  <si>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</si>
  <si>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</si>
  <si>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</si>
  <si>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</si>
  <si>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</si>
  <si>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</si>
  <si>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</si>
  <si>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</si>
  <si>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</si>
  <si>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</si>
  <si>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</si>
  <si>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</si>
  <si>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</si>
  <si>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</si>
  <si>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</si>
  <si>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</si>
  <si>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</si>
  <si>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</si>
  <si>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</si>
  <si>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</si>
  <si>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</si>
  <si>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</si>
  <si>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</si>
  <si>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</si>
  <si>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</si>
  <si>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</si>
  <si>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</si>
  <si>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</si>
  <si>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</si>
  <si>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</si>
  <si>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</si>
  <si>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</si>
  <si>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</si>
  <si>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</si>
  <si>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</si>
  <si>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</si>
  <si>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</si>
  <si>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</si>
  <si>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</si>
  <si>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</si>
  <si>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</si>
  <si>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</si>
  <si>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</si>
  <si>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</si>
  <si>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</si>
  <si>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</si>
  <si>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</si>
  <si>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</si>
  <si>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</si>
  <si>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</si>
  <si>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</si>
  <si>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</si>
  <si>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</si>
  <si>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</si>
  <si>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</si>
  <si>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</si>
  <si>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</si>
  <si>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</si>
  <si>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</si>
  <si>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</si>
  <si>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</si>
  <si>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</si>
  <si>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</si>
  <si>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</si>
  <si>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</si>
  <si>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</si>
  <si>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</si>
  <si>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</si>
  <si>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</si>
  <si>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</si>
  <si>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</si>
  <si>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</si>
  <si>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</si>
  <si>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</si>
  <si>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</si>
  <si>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</si>
  <si>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</si>
  <si>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</si>
  <si>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</si>
  <si>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</si>
  <si>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</si>
  <si>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</si>
  <si>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</si>
  <si>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</si>
  <si>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</si>
  <si>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</si>
  <si>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</si>
  <si>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</si>
  <si>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</si>
  <si>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</si>
  <si>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</si>
  <si>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</si>
  <si>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</si>
  <si>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</si>
  <si>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</si>
  <si>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</si>
  <si>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</si>
  <si>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</si>
  <si>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</si>
  <si>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</si>
  <si>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</si>
  <si>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</si>
  <si>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</si>
  <si>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</si>
  <si>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</si>
  <si>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</si>
  <si>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</si>
  <si>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</si>
  <si>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</si>
  <si>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</si>
  <si>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</si>
  <si>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</si>
  <si>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</si>
  <si>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</si>
  <si>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</si>
  <si>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</si>
  <si>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</si>
  <si>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</si>
  <si>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</si>
  <si>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</si>
  <si>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</si>
  <si>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</si>
  <si>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</si>
  <si>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</si>
  <si>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</si>
  <si>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</si>
  <si>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</si>
  <si>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</si>
  <si>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</si>
  <si>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</si>
  <si>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</si>
  <si>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</si>
  <si>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</si>
  <si>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</si>
  <si>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</si>
  <si>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</si>
  <si>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</si>
  <si>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</si>
  <si>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</si>
  <si>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</si>
  <si>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</si>
  <si>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</si>
  <si>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</si>
  <si>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</si>
  <si>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</si>
  <si>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</si>
  <si>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</si>
  <si>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</si>
  <si>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</si>
  <si>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</si>
  <si>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</si>
  <si>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</si>
  <si>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</si>
  <si>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</si>
  <si>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</si>
  <si>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</si>
  <si>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</si>
  <si>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</si>
  <si>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</si>
  <si>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</si>
  <si>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</si>
  <si>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</si>
  <si>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</si>
  <si>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</si>
  <si>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</si>
  <si>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</si>
  <si>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</si>
  <si>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</si>
  <si>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</si>
  <si>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</si>
  <si>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</si>
  <si>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</si>
  <si>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</si>
  <si>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</si>
  <si>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</si>
  <si>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</si>
  <si>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</si>
  <si>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</si>
  <si>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</si>
  <si>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</si>
  <si>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</si>
  <si>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</si>
  <si>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</si>
  <si>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</si>
  <si>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</si>
  <si>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</si>
  <si>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</si>
  <si>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</si>
  <si>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</si>
  <si>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</si>
  <si>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</si>
  <si>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</si>
  <si>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</si>
  <si>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</si>
  <si>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</si>
  <si>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</si>
  <si>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</si>
  <si>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</si>
  <si>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</si>
  <si>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</si>
  <si>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</si>
  <si>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</si>
  <si>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</si>
  <si>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</si>
  <si>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</si>
  <si>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</si>
  <si>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</si>
  <si>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</si>
  <si>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</si>
  <si>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</si>
  <si>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</si>
  <si>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</si>
  <si>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</si>
  <si>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</si>
  <si>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</si>
  <si>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</si>
  <si>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</si>
  <si>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</si>
  <si>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</si>
  <si>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</si>
  <si>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</si>
  <si>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</si>
  <si>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</si>
  <si>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</si>
  <si>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</si>
  <si>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</si>
  <si>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</si>
  <si>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</si>
  <si>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</si>
  <si>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</si>
  <si>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</si>
  <si>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</si>
  <si>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</si>
  <si>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</si>
  <si>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</si>
  <si>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</si>
  <si>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</si>
  <si>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</si>
  <si>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</si>
  <si>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</si>
  <si>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</si>
  <si>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</si>
  <si>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</si>
  <si>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</si>
  <si>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</si>
  <si>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</si>
  <si>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</si>
  <si>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</si>
  <si>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</si>
  <si>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</si>
  <si>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</si>
  <si>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</si>
  <si>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</si>
  <si>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</si>
  <si>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</si>
  <si>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</si>
  <si>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</si>
  <si>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</si>
  <si>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</si>
  <si>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</si>
  <si>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</si>
  <si>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</si>
  <si>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</si>
  <si>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</si>
  <si>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</si>
  <si>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</si>
  <si>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</si>
  <si>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</si>
  <si>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</si>
  <si>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</si>
  <si>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</si>
  <si>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</si>
  <si>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</si>
  <si>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</si>
  <si>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</si>
  <si>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</si>
  <si>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</si>
  <si>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</si>
  <si>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</si>
  <si>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</si>
  <si>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</si>
  <si>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</si>
  <si>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</si>
  <si>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</si>
  <si>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</si>
  <si>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</si>
  <si>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</si>
  <si>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</si>
  <si>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</si>
  <si>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</si>
  <si>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</si>
  <si>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</si>
  <si>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</si>
  <si>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</si>
  <si>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</si>
  <si>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</si>
  <si>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</si>
  <si>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</si>
  <si>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</si>
  <si>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</si>
  <si>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</si>
  <si>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</si>
  <si>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</si>
  <si>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</si>
  <si>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</si>
  <si>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</si>
  <si>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</si>
  <si>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</si>
  <si>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</si>
  <si>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</si>
  <si>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</si>
  <si>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</si>
  <si>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</si>
  <si>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</si>
  <si>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</si>
  <si>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</si>
  <si>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</si>
  <si>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</si>
  <si>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</si>
  <si>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</si>
  <si>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</si>
  <si>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</si>
  <si>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</si>
  <si>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</si>
  <si>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</si>
  <si>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</si>
  <si>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</si>
  <si>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</si>
  <si>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</si>
  <si>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</si>
  <si>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</si>
  <si>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</si>
  <si>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</si>
  <si>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</si>
  <si>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</si>
  <si>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</si>
  <si>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</si>
  <si>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</si>
  <si>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</si>
  <si>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</si>
  <si>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</si>
  <si>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</si>
  <si>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</si>
  <si>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</si>
  <si>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</si>
  <si>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</si>
  <si>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</si>
  <si>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</si>
  <si>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</si>
  <si>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</si>
  <si>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</si>
  <si>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</si>
  <si>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</si>
  <si>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</si>
  <si>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</si>
  <si>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</si>
  <si>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</si>
  <si>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</si>
  <si>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</si>
  <si>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</si>
  <si>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</si>
  <si>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</si>
  <si>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</si>
  <si>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</si>
  <si>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</si>
  <si>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</si>
  <si>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</si>
  <si>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</si>
  <si>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</si>
  <si>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</si>
  <si>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</si>
  <si>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</si>
  <si>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</si>
  <si>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</si>
  <si>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</si>
  <si>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</si>
  <si>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</si>
  <si>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</si>
  <si>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</si>
  <si>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</si>
  <si>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</si>
  <si>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</si>
  <si>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</si>
  <si>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</si>
  <si>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</si>
  <si>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</si>
  <si>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</si>
  <si>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</si>
  <si>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</si>
  <si>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</si>
  <si>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</si>
  <si>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</si>
  <si>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</si>
  <si>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</si>
  <si>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</si>
  <si>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</si>
  <si>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</si>
  <si>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</si>
  <si>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</si>
  <si>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</si>
  <si>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</si>
  <si>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</si>
  <si>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</si>
  <si>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</si>
  <si>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</si>
  <si>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</si>
  <si>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</si>
  <si>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</si>
  <si>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</si>
  <si>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</si>
  <si>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</si>
  <si>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</si>
  <si>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</si>
  <si>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</si>
  <si>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</si>
  <si>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</si>
  <si>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</si>
  <si>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</si>
  <si>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</si>
  <si>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</si>
  <si>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</si>
  <si>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</si>
  <si>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</si>
  <si>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</si>
  <si>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</si>
  <si>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</si>
  <si>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</si>
  <si>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</si>
  <si>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</si>
  <si>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</si>
  <si>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</si>
  <si>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</si>
  <si>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</si>
  <si>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</si>
  <si>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</si>
  <si>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</si>
  <si>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</si>
  <si>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</si>
  <si>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</si>
  <si>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</si>
  <si>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</si>
  <si>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</si>
  <si>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</si>
  <si>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</si>
  <si>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</si>
  <si>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</si>
  <si>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</si>
  <si>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</si>
  <si>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</si>
  <si>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</si>
  <si>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</si>
  <si>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</si>
  <si>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</si>
  <si>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</si>
  <si>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</si>
  <si>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</si>
  <si>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</si>
  <si>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</si>
  <si>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</si>
  <si>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</si>
  <si>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</si>
  <si>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</si>
  <si>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</si>
  <si>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</si>
  <si>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</si>
  <si>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</si>
  <si>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</si>
  <si>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</si>
  <si>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</si>
  <si>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</si>
  <si>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</si>
  <si>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</si>
  <si>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</si>
  <si>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</si>
  <si>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</si>
  <si>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</si>
  <si>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</si>
  <si>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</si>
  <si>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</si>
  <si>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</si>
  <si>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</si>
  <si>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</si>
  <si>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</si>
  <si>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</si>
  <si>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</si>
  <si>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</si>
  <si>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</si>
  <si>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</si>
  <si>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</si>
  <si>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</si>
  <si>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</si>
  <si>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</si>
  <si>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</si>
  <si>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</si>
  <si>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</si>
  <si>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</si>
  <si>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</si>
  <si>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</si>
  <si>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</si>
  <si>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</si>
  <si>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</si>
  <si>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</si>
  <si>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</si>
  <si>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</si>
  <si>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</si>
  <si>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</si>
  <si>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</si>
  <si>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</si>
  <si>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</si>
  <si>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</si>
  <si>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</si>
  <si>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</si>
  <si>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</si>
  <si>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</si>
  <si>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</si>
  <si>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</si>
  <si>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</si>
  <si>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</si>
  <si>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</si>
  <si>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</si>
  <si>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</si>
  <si>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</si>
  <si>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</si>
  <si>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</si>
  <si>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</si>
  <si>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</si>
  <si>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</si>
  <si>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</si>
  <si>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</si>
  <si>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</si>
  <si>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</si>
  <si>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</si>
  <si>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</si>
  <si>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</si>
  <si>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</si>
  <si>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</si>
  <si>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</si>
  <si>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</si>
  <si>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</si>
  <si>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</si>
  <si>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</si>
  <si>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</si>
  <si>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</si>
  <si>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</si>
  <si>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</si>
  <si>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</si>
  <si>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</si>
  <si>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</si>
  <si>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</si>
  <si>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</si>
  <si>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</si>
  <si>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</si>
  <si>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</si>
  <si>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</si>
  <si>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</si>
  <si>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</si>
  <si>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</si>
  <si>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</si>
  <si>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</si>
  <si>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</si>
  <si>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</si>
  <si>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</si>
  <si>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</si>
  <si>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</si>
  <si>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</si>
  <si>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</si>
  <si>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</si>
  <si>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</si>
  <si>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</si>
  <si>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</si>
  <si>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</si>
  <si>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</si>
  <si>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</si>
  <si>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</si>
  <si>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</si>
  <si>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</si>
  <si>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</si>
  <si>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</si>
  <si>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</si>
  <si>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</si>
  <si>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</si>
  <si>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</si>
  <si>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</si>
  <si>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</si>
  <si>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</si>
  <si>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</si>
  <si>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</si>
  <si>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</si>
  <si>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</si>
  <si>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</si>
  <si>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</si>
  <si>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</si>
  <si>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</si>
  <si>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</si>
  <si>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</si>
  <si>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</si>
  <si>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</si>
  <si>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</si>
  <si>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</si>
  <si>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</si>
  <si>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</si>
  <si>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</si>
  <si>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</si>
  <si>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</si>
  <si>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</si>
  <si>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</si>
  <si>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</si>
  <si>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</si>
  <si>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</si>
  <si>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</si>
  <si>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</si>
  <si>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</si>
  <si>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</si>
  <si>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</si>
  <si>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</si>
  <si>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</si>
  <si>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</si>
  <si>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</si>
  <si>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</si>
  <si>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</si>
  <si>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</si>
  <si>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</si>
  <si>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</si>
  <si>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</si>
  <si>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</si>
  <si>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</si>
  <si>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</si>
  <si>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</si>
  <si>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</si>
  <si>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</si>
  <si>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</si>
  <si>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</si>
  <si>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</si>
  <si>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</si>
  <si>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</si>
  <si>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</si>
  <si>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</si>
  <si>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</si>
  <si>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</si>
  <si>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</si>
  <si>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</si>
  <si>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</si>
  <si>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</si>
  <si>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</si>
  <si>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</si>
  <si>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</si>
  <si>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</si>
  <si>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</si>
  <si>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</si>
  <si>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</si>
  <si>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</si>
  <si>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</si>
  <si>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</si>
  <si>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</si>
  <si>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</si>
  <si>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</si>
  <si>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</si>
  <si>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</si>
  <si>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</si>
  <si>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</si>
  <si>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</si>
  <si>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</si>
  <si>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</si>
  <si>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</si>
  <si>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</si>
  <si>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</si>
  <si>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</si>
  <si>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</si>
  <si>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</si>
  <si>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</si>
  <si>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</si>
  <si>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</si>
  <si>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</si>
  <si>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</si>
  <si>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</si>
  <si>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</si>
  <si>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</si>
  <si>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</si>
  <si>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</si>
  <si>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</si>
  <si>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</si>
  <si>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</si>
  <si>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</si>
  <si>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</si>
  <si>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</si>
  <si>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</si>
  <si>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</si>
  <si>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</si>
  <si>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</si>
  <si>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</si>
  <si>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</si>
  <si>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</si>
  <si>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</si>
  <si>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</si>
  <si>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</si>
  <si>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</si>
  <si>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</si>
  <si>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</si>
  <si>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</si>
  <si>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</si>
  <si>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</si>
  <si>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</si>
  <si>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</si>
  <si>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</si>
  <si>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</si>
  <si>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</si>
  <si>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</si>
  <si>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</si>
  <si>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</si>
  <si>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</si>
  <si>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</si>
  <si>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</si>
  <si>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</si>
  <si>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</si>
  <si>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</si>
  <si>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</si>
  <si>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</si>
  <si>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</si>
  <si>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</si>
  <si>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</si>
  <si>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</si>
  <si>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</si>
  <si>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</si>
  <si>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</si>
  <si>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</si>
  <si>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</si>
  <si>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</si>
  <si>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</si>
  <si>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</si>
  <si>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</si>
  <si>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</si>
  <si>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</si>
  <si>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</si>
  <si>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</si>
  <si>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</si>
  <si>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</si>
  <si>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</si>
  <si>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</si>
  <si>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</si>
  <si>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</si>
  <si>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</si>
  <si>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</si>
  <si>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</si>
  <si>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</si>
  <si>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</si>
  <si>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</si>
  <si>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</si>
  <si>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</si>
  <si>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</si>
  <si>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</si>
  <si>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</si>
  <si>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</si>
  <si>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</si>
  <si>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</si>
  <si>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</si>
  <si>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</si>
  <si>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</si>
  <si>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</si>
  <si>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</si>
  <si>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</si>
  <si>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</si>
  <si>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</si>
  <si>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</si>
  <si>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</si>
  <si>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</si>
  <si>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</si>
  <si>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</si>
  <si>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</si>
  <si>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</si>
  <si>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</si>
  <si>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</si>
  <si>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</si>
  <si>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</si>
  <si>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</si>
  <si>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</si>
  <si>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</si>
  <si>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</si>
  <si>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</si>
  <si>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</si>
  <si>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</si>
  <si>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</si>
  <si>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</si>
  <si>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</si>
  <si>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</si>
  <si>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</si>
  <si>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</si>
  <si>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</si>
  <si>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</si>
  <si>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</si>
  <si>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</si>
  <si>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</si>
  <si>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</si>
  <si>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</si>
  <si>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</si>
  <si>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</si>
  <si>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</si>
  <si>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</si>
  <si>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</si>
  <si>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</si>
  <si>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</si>
  <si>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</si>
  <si>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</si>
  <si>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</si>
  <si>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</si>
  <si>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</si>
  <si>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</si>
  <si>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</si>
  <si>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</si>
  <si>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</si>
  <si>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</si>
  <si>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</si>
  <si>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</si>
  <si>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</si>
  <si>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</si>
  <si>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</si>
  <si>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</si>
  <si>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</si>
  <si>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</si>
  <si>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</si>
  <si>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</si>
  <si>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</si>
  <si>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</si>
  <si>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</si>
  <si>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</si>
  <si>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</si>
  <si>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</si>
  <si>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</si>
  <si>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</si>
  <si>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</si>
  <si>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</si>
  <si>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</si>
  <si>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</si>
  <si>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</si>
  <si>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</si>
  <si>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</si>
  <si>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</si>
  <si>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</si>
  <si>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</si>
  <si>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</si>
  <si>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</si>
  <si>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</si>
  <si>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</si>
  <si>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</si>
  <si>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</si>
  <si>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</si>
  <si>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</si>
  <si>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</si>
  <si>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</si>
  <si>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</si>
  <si>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</si>
  <si>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</si>
  <si>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</si>
  <si>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</si>
  <si>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</si>
  <si>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</si>
  <si>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</si>
  <si>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</si>
  <si>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</si>
  <si>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</si>
  <si>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</si>
  <si>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</si>
  <si>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</si>
  <si>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</si>
  <si>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</si>
  <si>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</si>
  <si>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</si>
  <si>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</si>
  <si>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</si>
  <si>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</si>
  <si>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</si>
  <si>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</si>
  <si>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</si>
  <si>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</si>
  <si>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</si>
  <si>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</si>
  <si>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</si>
  <si>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</si>
  <si>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</si>
  <si>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</si>
  <si>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</si>
  <si>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</si>
  <si>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</si>
  <si>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</si>
  <si>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</si>
  <si>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</si>
  <si>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</si>
  <si>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</si>
  <si>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</si>
  <si>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</si>
  <si>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</si>
  <si>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</si>
  <si>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</si>
  <si>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</si>
  <si>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</si>
  <si>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</si>
  <si>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</si>
  <si>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</si>
  <si>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</si>
  <si>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</si>
  <si>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</si>
  <si>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</si>
  <si>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</si>
  <si>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</si>
  <si>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</si>
  <si>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</si>
  <si>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</si>
  <si>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</si>
  <si>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</si>
  <si>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</si>
  <si>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</si>
  <si>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</si>
  <si>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</si>
  <si>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</si>
  <si>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</si>
  <si>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</si>
  <si>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</si>
  <si>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</si>
  <si>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</si>
  <si>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</si>
  <si>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</si>
  <si>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</si>
  <si>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</si>
  <si>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</si>
  <si>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</si>
  <si>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</si>
  <si>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</si>
  <si>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</si>
  <si>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</si>
  <si>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</si>
  <si>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</si>
  <si>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</si>
  <si>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</si>
  <si>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</si>
  <si>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</si>
  <si>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</si>
  <si>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</si>
  <si>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</si>
  <si>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</si>
  <si>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</si>
  <si>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</si>
  <si>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</si>
  <si>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</si>
  <si>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</si>
  <si>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</si>
  <si>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</si>
  <si>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</si>
  <si>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</si>
  <si>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</si>
  <si>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</si>
  <si>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</si>
  <si>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</si>
  <si>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</si>
  <si>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</si>
  <si>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</si>
  <si>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</si>
  <si>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</si>
  <si>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</si>
  <si>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</si>
  <si>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</si>
  <si>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</si>
  <si>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</si>
  <si>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</si>
  <si>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</si>
  <si>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</si>
  <si>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</si>
  <si>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</si>
  <si>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</si>
  <si>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</si>
  <si>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</si>
  <si>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</si>
  <si>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</si>
  <si>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</si>
  <si>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</si>
  <si>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</si>
  <si>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</si>
  <si>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</si>
  <si>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</si>
  <si>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</si>
  <si>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</si>
  <si>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</si>
  <si>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</si>
  <si>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</si>
  <si>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</si>
  <si>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</si>
  <si>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</si>
  <si>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</si>
  <si>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</si>
  <si>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</si>
  <si>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</si>
  <si>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</si>
  <si>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</si>
  <si>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</si>
  <si>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</si>
  <si>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</si>
  <si>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</si>
  <si>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</si>
  <si>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</si>
  <si>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</si>
  <si>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</si>
  <si>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</si>
  <si>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</si>
  <si>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</si>
  <si>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</si>
  <si>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</si>
  <si>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</si>
  <si>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</si>
  <si>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</si>
  <si>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</si>
  <si>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</si>
  <si>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</si>
  <si>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</si>
  <si>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</si>
  <si>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</si>
  <si>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</si>
  <si>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</si>
  <si>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</si>
  <si>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</si>
  <si>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</si>
  <si>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</si>
  <si>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</si>
  <si>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</si>
  <si>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</si>
  <si>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</si>
  <si>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</si>
  <si>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</si>
  <si>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</si>
  <si>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</si>
  <si>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</si>
  <si>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</si>
  <si>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</si>
  <si>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</si>
  <si>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</si>
  <si>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</si>
  <si>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</si>
  <si>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</si>
  <si>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</si>
  <si>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</si>
  <si>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</si>
  <si>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</si>
  <si>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</si>
  <si>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</si>
  <si>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</si>
  <si>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</si>
  <si>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</si>
  <si>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</si>
  <si>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</si>
  <si>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</si>
  <si>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</si>
  <si>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</si>
  <si>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</si>
  <si>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</si>
  <si>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</si>
  <si>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</si>
  <si>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</si>
  <si>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</si>
  <si>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</si>
  <si>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</si>
  <si>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</si>
  <si>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</si>
  <si>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</si>
  <si>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</si>
  <si>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</si>
  <si>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</si>
  <si>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</si>
  <si>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</si>
  <si>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</si>
  <si>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</si>
  <si>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</si>
  <si>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</si>
  <si>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</si>
  <si>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</si>
  <si>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</si>
  <si>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</si>
  <si>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</si>
  <si>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</si>
  <si>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</si>
  <si>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</si>
  <si>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</si>
  <si>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</si>
  <si>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</si>
  <si>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</si>
  <si>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</si>
  <si>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</si>
  <si>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</si>
  <si>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</si>
  <si>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</si>
  <si>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</si>
  <si>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</si>
  <si>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</si>
  <si>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</si>
  <si>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</si>
  <si>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</si>
  <si>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</si>
  <si>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</si>
  <si>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</si>
  <si>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</si>
  <si>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</si>
  <si>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</si>
  <si>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</si>
  <si>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</si>
  <si>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</si>
  <si>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</si>
  <si>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</si>
  <si>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</si>
  <si>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</si>
  <si>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</si>
  <si>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</si>
  <si>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</si>
  <si>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</si>
  <si>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</si>
  <si>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</si>
  <si>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</si>
  <si>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</si>
  <si>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</si>
  <si>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</si>
  <si>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</si>
  <si>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</si>
  <si>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</si>
  <si>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</si>
  <si>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</si>
  <si>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</si>
  <si>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</si>
  <si>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</si>
  <si>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</si>
  <si>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</si>
  <si>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</si>
  <si>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</si>
  <si>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</si>
  <si>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</si>
  <si>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</si>
  <si>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</si>
  <si>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</si>
  <si>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</si>
  <si>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</si>
  <si>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</si>
  <si>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</si>
  <si>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</si>
  <si>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</si>
  <si>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</si>
  <si>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</si>
  <si>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</si>
  <si>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</si>
  <si>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</si>
  <si>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</si>
  <si>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</si>
  <si>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</si>
  <si>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</si>
  <si>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</si>
  <si>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</si>
  <si>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</si>
  <si>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</si>
  <si>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</si>
  <si>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</si>
  <si>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</si>
  <si>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</si>
  <si>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</si>
  <si>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</si>
  <si>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</si>
  <si>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</si>
  <si>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</si>
  <si>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</si>
  <si>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</si>
  <si>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</si>
  <si>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</si>
  <si>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</si>
  <si>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</si>
  <si>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</si>
  <si>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</si>
  <si>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</si>
  <si>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</si>
  <si>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</si>
  <si>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</si>
  <si>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</si>
  <si>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</si>
  <si>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</si>
  <si>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</si>
  <si>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</si>
  <si>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</si>
  <si>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</si>
  <si>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</si>
  <si>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</si>
  <si>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</si>
  <si>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</si>
  <si>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</si>
  <si>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</si>
  <si>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</si>
  <si>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</si>
  <si>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</si>
  <si>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</si>
  <si>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</si>
  <si>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</si>
  <si>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</si>
  <si>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</si>
  <si>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</si>
  <si>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</si>
  <si>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</si>
  <si>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</si>
  <si>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</si>
  <si>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</si>
  <si>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</si>
  <si>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</si>
  <si>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</si>
  <si>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</si>
  <si>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</si>
  <si>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</si>
  <si>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</si>
  <si>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</si>
  <si>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</si>
  <si>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</si>
  <si>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</si>
  <si>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</si>
  <si>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</si>
  <si>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</si>
  <si>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</si>
  <si>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</si>
  <si>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</si>
  <si>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</si>
  <si>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</si>
  <si>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</si>
  <si>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</si>
  <si>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</si>
  <si>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</si>
  <si>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</si>
  <si>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</si>
  <si>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</si>
  <si>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</si>
  <si>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</si>
  <si>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</si>
  <si>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</si>
  <si>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</si>
  <si>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</si>
  <si>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</si>
  <si>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</si>
  <si>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</si>
  <si>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</si>
  <si>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</si>
  <si>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</si>
  <si>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</si>
  <si>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</si>
  <si>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</si>
  <si>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</si>
  <si>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</si>
  <si>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</si>
  <si>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</si>
  <si>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</si>
  <si>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</si>
  <si>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</si>
  <si>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</si>
  <si>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</si>
  <si>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</si>
  <si>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</si>
  <si>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</si>
  <si>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</si>
  <si>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</si>
  <si>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</si>
  <si>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</si>
  <si>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</si>
  <si>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</si>
  <si>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</si>
  <si>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</si>
  <si>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</si>
  <si>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</si>
  <si>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</si>
  <si>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</si>
  <si>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</si>
  <si>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</si>
  <si>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</si>
  <si>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</si>
  <si>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</si>
  <si>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</si>
  <si>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</si>
  <si>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</si>
  <si>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</si>
  <si>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</si>
  <si>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</si>
  <si>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</si>
  <si>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</si>
  <si>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</si>
  <si>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</si>
  <si>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</si>
  <si>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</si>
  <si>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</si>
  <si>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</si>
  <si>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</si>
  <si>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</si>
  <si>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</si>
  <si>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</si>
  <si>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</si>
  <si>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</si>
  <si>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</si>
  <si>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</si>
  <si>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</si>
  <si>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</si>
  <si>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</si>
  <si>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</si>
  <si>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</si>
  <si>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</si>
  <si>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</si>
  <si>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</si>
  <si>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</si>
  <si>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</si>
  <si>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</si>
  <si>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</si>
  <si>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</si>
  <si>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</si>
  <si>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</si>
  <si>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</si>
  <si>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</si>
  <si>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</si>
  <si>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</si>
  <si>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</si>
  <si>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</si>
  <si>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</si>
  <si>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</si>
  <si>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</si>
  <si>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</si>
  <si>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</si>
  <si>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</si>
  <si>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</si>
  <si>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</si>
  <si>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</si>
  <si>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</si>
  <si>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</si>
  <si>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</si>
  <si>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</si>
  <si>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</si>
  <si>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</si>
  <si>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</si>
  <si>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</si>
  <si>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</si>
  <si>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</si>
  <si>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</si>
  <si>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</si>
  <si>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</si>
  <si>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</si>
  <si>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</si>
  <si>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</si>
  <si>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</si>
  <si>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</si>
  <si>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</si>
  <si>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</si>
  <si>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</si>
  <si>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</si>
  <si>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</si>
  <si>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</si>
  <si>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</si>
  <si>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</si>
  <si>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</si>
  <si>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</si>
  <si>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</si>
  <si>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</si>
  <si>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</si>
  <si>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</si>
  <si>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</si>
  <si>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</si>
  <si>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</si>
  <si>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</si>
  <si>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</si>
  <si>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</si>
  <si>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</si>
  <si>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</si>
  <si>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</si>
  <si>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</si>
  <si>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</si>
  <si>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</si>
  <si>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</si>
  <si>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</si>
  <si>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</si>
  <si>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</si>
  <si>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</si>
  <si>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</si>
  <si>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</si>
  <si>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</si>
  <si>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</si>
  <si>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</si>
  <si>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</si>
  <si>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</si>
  <si>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</si>
  <si>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</si>
  <si>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</si>
  <si>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</si>
  <si>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</si>
  <si>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</si>
  <si>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</si>
  <si>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</si>
  <si>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</si>
  <si>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</si>
  <si>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</si>
  <si>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</si>
  <si>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</si>
  <si>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</si>
  <si>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</si>
  <si>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</si>
  <si>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</si>
  <si>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</si>
  <si>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</si>
  <si>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</si>
  <si>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</si>
  <si>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</si>
  <si>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</si>
  <si>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</si>
  <si>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</si>
  <si>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</si>
  <si>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</si>
  <si>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</si>
  <si>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</si>
  <si>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</si>
  <si>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</si>
  <si>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</si>
  <si>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</si>
  <si>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</si>
  <si>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</si>
  <si>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</si>
  <si>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</si>
  <si>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</si>
  <si>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</si>
  <si>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</si>
  <si>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</si>
  <si>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</si>
  <si>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</si>
  <si>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</si>
  <si>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</si>
  <si>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</si>
  <si>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</si>
  <si>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</si>
  <si>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</si>
  <si>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</si>
  <si>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</si>
  <si>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</si>
  <si>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</si>
  <si>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</si>
  <si>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</si>
  <si>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</si>
  <si>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</si>
  <si>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</si>
  <si>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</si>
  <si>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</si>
  <si>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</si>
  <si>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</si>
  <si>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</si>
  <si>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</si>
  <si>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</si>
  <si>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</si>
  <si>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</si>
  <si>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</si>
  <si>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</si>
  <si>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</si>
  <si>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</si>
  <si>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</si>
  <si>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</si>
  <si>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</si>
  <si>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</si>
  <si>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</si>
  <si>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</si>
  <si>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</si>
  <si>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</si>
  <si>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</si>
  <si>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</si>
  <si>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</si>
  <si>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</si>
  <si>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</si>
  <si>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</si>
  <si>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</si>
  <si>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</si>
  <si>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</si>
  <si>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</si>
  <si>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</si>
  <si>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</si>
  <si>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</si>
  <si>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</si>
  <si>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</si>
  <si>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</si>
  <si>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</si>
  <si>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</si>
  <si>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</si>
  <si>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</si>
  <si>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</si>
  <si>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</si>
  <si>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</si>
  <si>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</si>
  <si>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</si>
  <si>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</si>
  <si>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</si>
  <si>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</si>
  <si>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</si>
  <si>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</si>
  <si>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</si>
  <si>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</si>
  <si>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</si>
  <si>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</si>
  <si>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</si>
  <si>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</si>
  <si>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</si>
  <si>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</si>
  <si>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</si>
  <si>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</si>
  <si>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</si>
  <si>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</si>
  <si>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</si>
  <si>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</si>
  <si>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</si>
  <si>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</si>
  <si>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</si>
  <si>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</si>
  <si>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</si>
  <si>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</si>
  <si>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</si>
  <si>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</si>
  <si>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</si>
  <si>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</si>
  <si>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</si>
  <si>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</si>
  <si>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</si>
  <si>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</si>
  <si>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</si>
  <si>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</si>
  <si>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</si>
  <si>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</si>
  <si>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</si>
  <si>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</si>
  <si>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</si>
  <si>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</si>
  <si>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</si>
  <si>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</si>
  <si>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</si>
  <si>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</si>
  <si>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</si>
  <si>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</si>
  <si>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</si>
  <si>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</si>
  <si>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</si>
  <si>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</si>
  <si>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</si>
  <si>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</si>
  <si>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</si>
  <si>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</si>
  <si>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</si>
  <si>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</si>
  <si>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</si>
  <si>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</si>
  <si>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</si>
  <si>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</si>
  <si>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</si>
  <si>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</si>
  <si>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</si>
  <si>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</si>
  <si>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</si>
  <si>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</si>
  <si>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</si>
  <si>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</si>
  <si>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</si>
  <si>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</si>
  <si>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</si>
  <si>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</si>
  <si>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</si>
  <si>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</si>
  <si>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</si>
  <si>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</si>
  <si>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</si>
  <si>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</si>
  <si>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</si>
  <si>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</si>
  <si>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</si>
  <si>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</si>
  <si>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</si>
  <si>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</si>
  <si>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</si>
  <si>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</si>
  <si>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</si>
  <si>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</si>
  <si>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</si>
  <si>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</si>
  <si>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</si>
  <si>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</si>
  <si>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</si>
  <si>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</si>
  <si>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</si>
  <si>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</si>
  <si>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</si>
  <si>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</si>
  <si>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</si>
  <si>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</si>
  <si>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</si>
  <si>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</si>
  <si>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</si>
  <si>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</si>
  <si>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</si>
  <si>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</si>
  <si>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</si>
  <si>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</si>
  <si>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</si>
  <si>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</si>
  <si>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</si>
  <si>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</si>
  <si>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</si>
  <si>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</si>
  <si>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</si>
  <si>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</si>
  <si>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</si>
  <si>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</si>
  <si>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</si>
  <si>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</si>
  <si>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</si>
  <si>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</si>
  <si>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</si>
  <si>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</si>
  <si>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</si>
  <si>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</si>
  <si>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</si>
  <si>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</si>
  <si>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</si>
  <si>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</si>
  <si>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</si>
  <si>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</si>
  <si>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</si>
  <si>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</si>
  <si>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</si>
  <si>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</si>
  <si>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</si>
  <si>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</si>
  <si>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</si>
  <si>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</si>
  <si>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</si>
  <si>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</si>
  <si>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</si>
  <si>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</si>
  <si>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</si>
  <si>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</si>
  <si>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</si>
  <si>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</si>
  <si>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</si>
  <si>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</si>
  <si>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</si>
  <si>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</si>
  <si>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</si>
  <si>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</si>
  <si>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</si>
  <si>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</si>
  <si>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</si>
  <si>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</si>
  <si>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</si>
  <si>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</si>
  <si>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</si>
  <si>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</si>
  <si>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</si>
  <si>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</si>
  <si>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</si>
  <si>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</si>
  <si>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</si>
  <si>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</si>
  <si>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</si>
  <si>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</si>
  <si>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</si>
  <si>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</si>
  <si>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</si>
  <si>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</si>
  <si>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</si>
  <si>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</si>
  <si>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</si>
  <si>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</si>
  <si>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</si>
  <si>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</si>
  <si>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</si>
  <si>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</si>
  <si>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</si>
  <si>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</si>
  <si>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</si>
  <si>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</si>
  <si>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</si>
  <si>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</si>
  <si>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</si>
  <si>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</si>
  <si>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</si>
  <si>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</si>
  <si>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</si>
  <si>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</si>
  <si>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</si>
  <si>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</si>
  <si>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</si>
  <si>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</si>
  <si>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</si>
  <si>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</si>
  <si>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</si>
  <si>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</si>
  <si>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</si>
  <si>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</si>
  <si>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</si>
  <si>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</si>
  <si>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</si>
  <si>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</si>
  <si>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</si>
  <si>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</si>
  <si>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</si>
  <si>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</si>
  <si>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</si>
  <si>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</si>
  <si>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</si>
  <si>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</si>
  <si>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</si>
  <si>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</si>
  <si>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</si>
  <si>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</si>
  <si>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</si>
  <si>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</si>
  <si>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</si>
  <si>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</si>
  <si>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</si>
  <si>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</si>
  <si>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</si>
  <si>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</si>
  <si>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</si>
  <si>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</si>
  <si>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</si>
  <si>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</si>
  <si>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</si>
  <si>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</si>
  <si>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</si>
  <si>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</si>
  <si>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</si>
  <si>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</si>
  <si>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</si>
  <si>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</si>
  <si>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</si>
  <si>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</si>
  <si>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</si>
  <si>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</si>
  <si>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</si>
  <si>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</si>
  <si>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</si>
  <si>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</si>
  <si>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</si>
  <si>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</si>
  <si>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</si>
  <si>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</si>
  <si>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</si>
  <si>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</si>
  <si>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</si>
  <si>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</si>
  <si>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</si>
  <si>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</si>
  <si>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</si>
  <si>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</si>
  <si>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</si>
  <si>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</si>
  <si>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</si>
  <si>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</si>
  <si>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</si>
  <si>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</si>
  <si>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</si>
  <si>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</si>
  <si>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</si>
  <si>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</si>
  <si>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</si>
  <si>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</si>
  <si>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</si>
  <si>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</si>
  <si>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</si>
  <si>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</si>
  <si>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</si>
  <si>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</si>
  <si>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</si>
  <si>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</si>
  <si>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</si>
  <si>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</si>
  <si>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</si>
  <si>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</si>
  <si>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</si>
  <si>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</si>
  <si>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</si>
  <si>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</si>
  <si>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</si>
  <si>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</si>
  <si>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</si>
  <si>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</si>
  <si>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</si>
  <si>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</si>
  <si>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</si>
  <si>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</si>
  <si>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</si>
  <si>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</si>
  <si>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</si>
  <si>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</si>
  <si>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</si>
  <si>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</si>
  <si>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</si>
  <si>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</si>
  <si>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</si>
  <si>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</si>
  <si>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</si>
  <si>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</si>
  <si>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</si>
  <si>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</si>
  <si>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</si>
  <si>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</si>
  <si>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</si>
  <si>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</si>
  <si>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</si>
  <si>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</si>
  <si>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</si>
  <si>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</si>
  <si>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</si>
  <si>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</si>
  <si>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</si>
  <si>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</si>
  <si>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</si>
  <si>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</si>
  <si>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</si>
  <si>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</si>
  <si>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</si>
  <si>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</si>
  <si>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</si>
  <si>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</si>
  <si>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</si>
  <si>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</si>
  <si>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</si>
  <si>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</si>
  <si>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</si>
  <si>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</si>
  <si>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</si>
  <si>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</si>
  <si>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</si>
  <si>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</si>
  <si>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</si>
  <si>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</si>
  <si>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</si>
  <si>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</si>
  <si>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</si>
  <si>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</si>
  <si>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</si>
  <si>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</si>
  <si>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</si>
  <si>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</si>
  <si>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</si>
  <si>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</si>
  <si>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</si>
  <si>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</si>
  <si>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</si>
  <si>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</si>
  <si>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</si>
  <si>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</si>
  <si>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</si>
  <si>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</si>
  <si>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</si>
  <si>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</si>
  <si>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</si>
  <si>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</si>
  <si>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</si>
  <si>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</si>
  <si>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</si>
  <si>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</si>
  <si>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</si>
  <si>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</si>
  <si>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</si>
  <si>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</si>
  <si>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</si>
  <si>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</si>
  <si>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</si>
  <si>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</si>
  <si>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</si>
  <si>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</si>
  <si>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</si>
  <si>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</si>
  <si>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</si>
  <si>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</si>
  <si>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</si>
  <si>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</si>
  <si>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</si>
  <si>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</si>
  <si>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</si>
  <si>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</si>
  <si>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</si>
  <si>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</si>
  <si>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</si>
  <si>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</si>
  <si>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</si>
  <si>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</si>
  <si>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</si>
  <si>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</si>
  <si>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</si>
  <si>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</si>
  <si>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</si>
  <si>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</si>
  <si>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</si>
  <si>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</si>
  <si>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</si>
  <si>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</si>
  <si>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</si>
  <si>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</si>
  <si>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</si>
  <si>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</si>
  <si>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</si>
  <si>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</si>
  <si>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</si>
  <si>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</si>
  <si>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</si>
  <si>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</si>
  <si>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</si>
  <si>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</si>
  <si>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</si>
  <si>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</si>
  <si>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</si>
  <si>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</si>
  <si>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</si>
  <si>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</si>
  <si>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</si>
  <si>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</si>
  <si>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</si>
  <si>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</si>
  <si>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</si>
  <si>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</si>
  <si>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</si>
  <si>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</si>
  <si>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</si>
  <si>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</si>
  <si>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</si>
  <si>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</si>
  <si>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</si>
  <si>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</si>
  <si>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</si>
  <si>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</si>
  <si>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</si>
  <si>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</si>
  <si>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</si>
  <si>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</si>
  <si>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</si>
  <si>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</si>
  <si>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</si>
  <si>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</si>
  <si>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</si>
  <si>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</si>
  <si>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</si>
  <si>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</si>
  <si>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</si>
  <si>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</si>
  <si>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</si>
  <si>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</si>
  <si>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</si>
  <si>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</si>
  <si>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</si>
  <si>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</si>
  <si>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</si>
  <si>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</si>
  <si>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</si>
  <si>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</si>
  <si>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</si>
  <si>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</si>
  <si>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</si>
  <si>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</si>
  <si>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</si>
  <si>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</si>
  <si>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</si>
  <si>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</si>
  <si>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</si>
  <si>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</si>
  <si>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</si>
  <si>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</si>
  <si>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</si>
  <si>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</si>
  <si>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</si>
  <si>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</si>
  <si>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</si>
  <si>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</si>
  <si>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</si>
  <si>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</si>
  <si>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</si>
  <si>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</si>
  <si>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</si>
  <si>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</si>
  <si>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</si>
  <si>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</si>
  <si>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</si>
  <si>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</si>
  <si>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</si>
  <si>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</si>
  <si>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</si>
  <si>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</si>
  <si>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</si>
  <si>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</si>
  <si>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</si>
  <si>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</si>
  <si>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</si>
  <si>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</si>
  <si>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</si>
  <si>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</si>
  <si>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</si>
  <si>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</si>
  <si>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</si>
  <si>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</si>
  <si>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</si>
  <si>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</si>
  <si>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</si>
  <si>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</si>
  <si>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</si>
  <si>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</si>
  <si>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</si>
  <si>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</si>
  <si>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</si>
  <si>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</si>
  <si>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</si>
  <si>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</si>
  <si>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</si>
  <si>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</si>
  <si>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</si>
  <si>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</si>
  <si>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</si>
  <si>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</si>
  <si>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</si>
  <si>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</si>
  <si>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</si>
  <si>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</si>
  <si>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</si>
  <si>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</si>
  <si>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</si>
  <si>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</si>
  <si>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</si>
  <si>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</si>
  <si>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</si>
  <si>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</si>
  <si>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</si>
  <si>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</si>
  <si>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</si>
  <si>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</si>
  <si>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</si>
  <si>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</si>
  <si>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</si>
  <si>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</si>
  <si>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</si>
  <si>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</si>
  <si>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</si>
  <si>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</si>
  <si>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</si>
  <si>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</si>
  <si>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</si>
  <si>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</si>
  <si>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</si>
  <si>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</si>
  <si>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</si>
  <si>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</si>
  <si>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</si>
  <si>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</si>
  <si>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</si>
  <si>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</si>
  <si>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</si>
  <si>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</si>
  <si>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</si>
  <si>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</si>
  <si>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</si>
  <si>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</si>
  <si>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</si>
  <si>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</si>
  <si>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</si>
  <si>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</si>
  <si>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</si>
  <si>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</si>
  <si>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</si>
  <si>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</si>
  <si>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</si>
  <si>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</si>
  <si>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</si>
  <si>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</si>
  <si>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</si>
  <si>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</si>
  <si>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</si>
  <si>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</si>
  <si>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</si>
  <si>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</si>
  <si>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</si>
  <si>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</si>
  <si>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</si>
  <si>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</si>
  <si>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</si>
  <si>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</si>
  <si>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</si>
  <si>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</si>
  <si>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</si>
  <si>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</si>
  <si>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</si>
  <si>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</si>
  <si>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</si>
  <si>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</si>
  <si>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</si>
  <si>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</si>
  <si>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</si>
  <si>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</si>
  <si>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</si>
  <si>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</si>
  <si>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</si>
  <si>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</si>
  <si>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</si>
  <si>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</si>
  <si>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</si>
  <si>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</si>
  <si>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</si>
  <si>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</si>
  <si>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</si>
  <si>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</si>
  <si>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</si>
  <si>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</si>
  <si>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</si>
  <si>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</si>
  <si>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</si>
  <si>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</si>
  <si>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</si>
  <si>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</si>
  <si>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</si>
  <si>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</si>
  <si>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</si>
  <si>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</si>
  <si>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</si>
  <si>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</si>
  <si>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</si>
  <si>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</si>
  <si>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</si>
  <si>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</si>
  <si>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</si>
  <si>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</si>
  <si>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</si>
  <si>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</si>
  <si>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</si>
  <si>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</si>
  <si>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</si>
  <si>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</si>
  <si>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</si>
  <si>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</si>
  <si>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</si>
  <si>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</si>
  <si>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</si>
  <si>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</si>
  <si>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</si>
  <si>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</si>
  <si>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</si>
  <si>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</si>
  <si>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</si>
  <si>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</si>
  <si>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</si>
  <si>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</si>
  <si>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</si>
  <si>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</si>
  <si>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</si>
  <si>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</si>
  <si>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</si>
  <si>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</si>
  <si>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</si>
  <si>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</si>
  <si>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</si>
  <si>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</si>
  <si>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</si>
  <si>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</si>
  <si>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</si>
  <si>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</si>
  <si>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</si>
  <si>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</si>
  <si>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</si>
  <si>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</si>
  <si>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</si>
  <si>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</si>
  <si>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</si>
  <si>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</si>
  <si>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</si>
  <si>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</si>
  <si>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</si>
  <si>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</si>
  <si>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</si>
  <si>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</si>
  <si>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</si>
  <si>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</si>
  <si>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</si>
  <si>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</si>
  <si>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</si>
  <si>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</si>
  <si>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</si>
  <si>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</si>
  <si>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</si>
  <si>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</si>
  <si>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</si>
  <si>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</si>
  <si>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</si>
  <si>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</si>
  <si>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</si>
  <si>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</si>
  <si>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</si>
  <si>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</si>
  <si>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</si>
  <si>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</si>
  <si>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</si>
  <si>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</si>
  <si>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</si>
  <si>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</si>
  <si>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</si>
  <si>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</si>
  <si>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</si>
  <si>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</si>
  <si>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</si>
  <si>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</si>
  <si>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</si>
  <si>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</si>
  <si>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</si>
  <si>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</si>
  <si>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</si>
  <si>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</si>
  <si>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</si>
  <si>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</si>
  <si>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</si>
  <si>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</si>
  <si>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</si>
  <si>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</si>
  <si>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</si>
  <si>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</si>
  <si>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</si>
  <si>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</si>
  <si>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</si>
  <si>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</si>
  <si>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</si>
  <si>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</si>
  <si>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</si>
  <si>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</si>
  <si>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</si>
  <si>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</si>
  <si>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</si>
  <si>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</si>
  <si>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</si>
  <si>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</si>
  <si>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</si>
  <si>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</si>
  <si>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</si>
  <si>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</si>
  <si>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</si>
  <si>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</si>
  <si>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</si>
  <si>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</si>
  <si>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</si>
  <si>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</si>
  <si>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</si>
  <si>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</si>
  <si>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</si>
  <si>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</si>
  <si>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</si>
  <si>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</si>
  <si>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</si>
  <si>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</si>
  <si>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</si>
  <si>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</si>
  <si>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</si>
  <si>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</si>
  <si>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</si>
  <si>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</si>
  <si>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</si>
  <si>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</si>
  <si>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</si>
  <si>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</si>
  <si>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</si>
  <si>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</si>
  <si>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</si>
  <si>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</si>
  <si>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</si>
  <si>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</si>
  <si>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</si>
  <si>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</si>
  <si>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</si>
  <si>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</si>
  <si>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</si>
  <si>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</si>
  <si>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</si>
  <si>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</si>
  <si>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</si>
  <si>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</si>
  <si>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</si>
  <si>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</si>
  <si>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</si>
  <si>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</si>
  <si>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</si>
  <si>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</si>
  <si>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</si>
  <si>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</si>
  <si>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</si>
  <si>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</si>
  <si>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</si>
  <si>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</si>
  <si>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</si>
  <si>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</si>
  <si>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</si>
  <si>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</si>
  <si>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</si>
  <si>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</si>
  <si>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</si>
  <si>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</si>
  <si>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</si>
  <si>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</si>
  <si>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</si>
  <si>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</si>
  <si>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</si>
  <si>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</si>
  <si>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</si>
  <si>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</si>
  <si>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</si>
  <si>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</si>
  <si>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</si>
  <si>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</si>
  <si>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</si>
  <si>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</si>
  <si>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</si>
  <si>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</si>
  <si>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</si>
  <si>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</si>
  <si>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</si>
  <si>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</si>
  <si>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</si>
  <si>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</si>
  <si>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</si>
  <si>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</si>
  <si>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</si>
  <si>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</si>
  <si>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</si>
  <si>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</si>
  <si>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</si>
  <si>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</si>
  <si>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</si>
  <si>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</si>
  <si>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</si>
  <si>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</si>
  <si>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</si>
  <si>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</si>
  <si>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</si>
  <si>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</si>
  <si>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</si>
  <si>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</si>
  <si>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</si>
  <si>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</si>
  <si>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</si>
  <si>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</si>
  <si>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</si>
  <si>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</si>
  <si>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</si>
  <si>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</si>
  <si>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</si>
  <si>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</si>
  <si>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</si>
  <si>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</si>
  <si>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</si>
  <si>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</si>
  <si>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</si>
  <si>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</si>
  <si>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</si>
  <si>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</si>
  <si>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</si>
  <si>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</si>
  <si>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</si>
  <si>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</si>
  <si>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</si>
  <si>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</si>
  <si>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</si>
  <si>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</si>
  <si>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</si>
  <si>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</si>
  <si>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</si>
  <si>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</si>
  <si>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</si>
  <si>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</si>
  <si>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</si>
  <si>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</si>
  <si>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</si>
  <si>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</si>
  <si>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</si>
  <si>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</si>
  <si>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</si>
  <si>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</si>
  <si>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</si>
  <si>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</si>
  <si>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</si>
  <si>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</si>
  <si>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</si>
  <si>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</si>
  <si>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</si>
  <si>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</si>
  <si>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</si>
  <si>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</si>
  <si>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</si>
  <si>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</si>
  <si>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</si>
  <si>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</si>
  <si>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</si>
  <si>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</si>
  <si>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</si>
  <si>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</si>
  <si>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</si>
  <si>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</si>
  <si>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</si>
  <si>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</si>
  <si>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</si>
  <si>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</si>
  <si>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</si>
  <si>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</si>
  <si>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</si>
  <si>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</si>
  <si>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</si>
  <si>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</si>
  <si>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</si>
  <si>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</si>
  <si>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</si>
  <si>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</si>
  <si>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</si>
  <si>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</si>
  <si>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</si>
  <si>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</si>
  <si>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</si>
  <si>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</si>
  <si>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</si>
  <si>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</si>
  <si>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</si>
  <si>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</si>
  <si>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</si>
  <si>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</si>
  <si>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</si>
  <si>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</si>
  <si>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</si>
  <si>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</si>
  <si>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</si>
  <si>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</si>
  <si>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</si>
  <si>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</si>
  <si>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</si>
  <si>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</si>
  <si>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</si>
  <si>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</si>
  <si>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</si>
  <si>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</si>
  <si>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</si>
  <si>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</si>
  <si>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</si>
  <si>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</si>
  <si>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</si>
  <si>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</si>
  <si>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</si>
  <si>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</si>
  <si>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</si>
  <si>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</si>
  <si>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</si>
  <si>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</si>
  <si>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</si>
  <si>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</si>
  <si>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</si>
  <si>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</si>
  <si>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</si>
  <si>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</si>
  <si>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</si>
  <si>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</si>
  <si>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</si>
  <si>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</si>
  <si>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</si>
  <si>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</si>
  <si>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</si>
  <si>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</si>
  <si>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</si>
  <si>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</si>
  <si>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</si>
  <si>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</si>
  <si>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</si>
  <si>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</si>
  <si>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</si>
  <si>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</si>
  <si>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</si>
  <si>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</si>
  <si>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</si>
  <si>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</si>
  <si>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</si>
  <si>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</si>
  <si>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</si>
  <si>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</si>
  <si>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</si>
  <si>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</si>
  <si>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</si>
  <si>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</si>
  <si>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</si>
  <si>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</si>
  <si>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</si>
  <si>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</si>
  <si>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</si>
  <si>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</si>
  <si>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</si>
  <si>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</si>
  <si>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</si>
  <si>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</si>
  <si>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</si>
  <si>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</si>
  <si>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</si>
  <si>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</si>
  <si>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</si>
  <si>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</si>
  <si>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</si>
  <si>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</si>
  <si>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</si>
  <si>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</si>
  <si>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</si>
  <si>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</si>
  <si>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</si>
  <si>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</si>
  <si>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</si>
  <si>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</si>
  <si>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</si>
  <si>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</si>
  <si>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</si>
  <si>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</si>
  <si>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</si>
  <si>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</si>
  <si>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</si>
  <si>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</si>
  <si>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</si>
  <si>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</si>
  <si>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</si>
  <si>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</si>
  <si>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</si>
  <si>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</si>
  <si>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</si>
  <si>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</si>
  <si>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</si>
  <si>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</si>
  <si>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</si>
  <si>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</si>
  <si>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</si>
  <si>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</si>
  <si>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</si>
  <si>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</si>
  <si>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</si>
  <si>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</si>
  <si>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</si>
  <si>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</si>
  <si>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</si>
  <si>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</si>
  <si>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</si>
  <si>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</si>
  <si>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</si>
  <si>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</si>
  <si>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</si>
  <si>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</si>
  <si>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</si>
  <si>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</si>
  <si>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</si>
  <si>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</si>
  <si>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</si>
  <si>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</si>
  <si>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</si>
  <si>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</si>
  <si>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</si>
  <si>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</si>
  <si>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</si>
  <si>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</si>
  <si>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</si>
  <si>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</si>
  <si>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</si>
  <si>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</si>
  <si>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</si>
  <si>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</si>
  <si>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</si>
  <si>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</si>
  <si>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</si>
  <si>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</si>
  <si>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</si>
  <si>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</si>
  <si>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</si>
  <si>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</si>
  <si>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</si>
  <si>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</si>
  <si>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</si>
  <si>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</si>
  <si>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</si>
  <si>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</si>
  <si>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</si>
  <si>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</si>
  <si>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</si>
  <si>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</si>
  <si>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</si>
  <si>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</si>
  <si>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</si>
  <si>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</si>
  <si>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</si>
  <si>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</si>
  <si>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</si>
  <si>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</si>
  <si>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</si>
  <si>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</si>
  <si>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</si>
  <si>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</si>
  <si>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</si>
  <si>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</si>
  <si>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</si>
  <si>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</si>
  <si>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</si>
  <si>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</si>
  <si>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</si>
  <si>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</si>
  <si>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</si>
  <si>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</si>
  <si>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</si>
  <si>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</si>
  <si>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</si>
  <si>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</si>
  <si>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</si>
  <si>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</si>
  <si>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</si>
  <si>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</si>
  <si>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</si>
  <si>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</si>
  <si>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</si>
  <si>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</si>
  <si>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</si>
  <si>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</si>
  <si>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</si>
  <si>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</si>
  <si>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</si>
  <si>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</si>
  <si>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</si>
  <si>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</si>
  <si>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</si>
  <si>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</si>
  <si>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</si>
  <si>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</si>
  <si>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</si>
  <si>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</si>
  <si>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</si>
  <si>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</si>
  <si>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</si>
  <si>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</si>
  <si>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</si>
  <si>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</si>
  <si>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</si>
  <si>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</si>
  <si>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</si>
  <si>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</si>
  <si>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</si>
  <si>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</si>
  <si>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</si>
  <si>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</si>
  <si>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</si>
  <si>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</si>
  <si>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</si>
  <si>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</si>
  <si>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</si>
  <si>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</si>
  <si>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</si>
  <si>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</si>
  <si>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</si>
  <si>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</si>
  <si>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</si>
  <si>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</si>
  <si>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</si>
  <si>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</si>
  <si>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</si>
  <si>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</si>
  <si>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</si>
  <si>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</si>
  <si>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</si>
  <si>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</si>
  <si>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</si>
  <si>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</si>
  <si>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</si>
  <si>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</si>
  <si>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</si>
  <si>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</si>
  <si>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</si>
  <si>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</si>
  <si>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</si>
  <si>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</si>
  <si>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</si>
  <si>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</si>
  <si>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</si>
  <si>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</si>
  <si>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</si>
  <si>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</si>
  <si>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</si>
  <si>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</si>
  <si>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</si>
  <si>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</si>
  <si>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</si>
  <si>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</si>
  <si>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</si>
  <si>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</si>
  <si>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</si>
  <si>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</si>
  <si>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</si>
  <si>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</si>
  <si>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</si>
  <si>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</si>
  <si>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</si>
  <si>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</si>
  <si>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</si>
  <si>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</si>
  <si>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</si>
  <si>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</si>
  <si>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</si>
  <si>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</si>
  <si>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</si>
  <si>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</si>
  <si>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</si>
  <si>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</si>
  <si>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</si>
  <si>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</si>
  <si>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</si>
  <si>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</si>
  <si>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</si>
  <si>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</si>
  <si>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</si>
  <si>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</si>
  <si>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</si>
  <si>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</si>
  <si>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</si>
  <si>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</si>
  <si>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</si>
  <si>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</si>
  <si>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</si>
  <si>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</si>
  <si>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</si>
  <si>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</si>
  <si>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</si>
  <si>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</si>
  <si>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</si>
  <si>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</si>
  <si>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</si>
  <si>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</si>
  <si>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</si>
  <si>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</si>
  <si>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</si>
  <si>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</si>
  <si>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</si>
  <si>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</si>
  <si>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</si>
  <si>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</si>
  <si>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</si>
  <si>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</si>
  <si>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</si>
  <si>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</si>
  <si>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</si>
  <si>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</si>
  <si>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</si>
  <si>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</si>
  <si>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</si>
  <si>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</si>
  <si>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</si>
  <si>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</si>
  <si>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</si>
  <si>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</si>
  <si>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</si>
  <si>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</si>
  <si>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</si>
  <si>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</si>
  <si>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</si>
  <si>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</si>
  <si>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</si>
  <si>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</si>
  <si>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</si>
  <si>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</si>
  <si>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</si>
  <si>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</si>
  <si>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</si>
  <si>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</si>
  <si>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</si>
  <si>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</si>
  <si>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</si>
  <si>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</si>
  <si>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</si>
  <si>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</si>
  <si>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</si>
  <si>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</si>
  <si>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</si>
  <si>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</si>
  <si>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</si>
  <si>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</si>
  <si>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</si>
  <si>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</si>
  <si>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</si>
  <si>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</si>
  <si>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</si>
  <si>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</si>
  <si>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</si>
  <si>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</si>
  <si>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</si>
  <si>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</si>
  <si>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</si>
  <si>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</si>
  <si>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</si>
  <si>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</si>
  <si>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</si>
  <si>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</si>
  <si>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</si>
  <si>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</si>
  <si>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</si>
  <si>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</si>
  <si>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</si>
  <si>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</si>
  <si>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</si>
  <si>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</si>
  <si>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</si>
  <si>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</si>
  <si>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</si>
  <si>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</si>
  <si>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</si>
  <si>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</si>
  <si>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</si>
  <si>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</si>
  <si>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</si>
  <si>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</si>
  <si>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</si>
  <si>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</si>
  <si>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</si>
  <si>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</si>
  <si>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</si>
  <si>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</si>
  <si>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</si>
  <si>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</si>
  <si>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</si>
  <si>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</si>
  <si>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</si>
  <si>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</si>
  <si>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</si>
  <si>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</si>
  <si>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</si>
  <si>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</si>
  <si>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</si>
  <si>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</si>
  <si>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</si>
  <si>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</si>
  <si>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</si>
  <si>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</si>
  <si>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</si>
  <si>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</si>
  <si>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</si>
  <si>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</si>
  <si>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</si>
  <si>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</si>
  <si>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</si>
  <si>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</si>
  <si>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</si>
  <si>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</si>
  <si>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</si>
  <si>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</si>
  <si>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</si>
  <si>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</si>
  <si>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</si>
  <si>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</si>
  <si>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</si>
  <si>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</si>
  <si>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</si>
  <si>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</si>
  <si>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</si>
  <si>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</si>
  <si>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</si>
  <si>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</si>
  <si>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</si>
  <si>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</si>
  <si>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</si>
  <si>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</si>
  <si>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</si>
  <si>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</si>
  <si>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</si>
  <si>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</si>
  <si>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</si>
  <si>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</si>
  <si>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</si>
  <si>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</si>
  <si>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</si>
  <si>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</si>
  <si>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</si>
  <si>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</si>
  <si>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</si>
  <si>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</si>
  <si>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</si>
  <si>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</si>
  <si>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</si>
  <si>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</si>
  <si>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</si>
  <si>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</si>
  <si>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</si>
  <si>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</si>
  <si>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</si>
  <si>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</si>
  <si>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</si>
  <si>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</si>
  <si>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</si>
  <si>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</si>
  <si>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</si>
  <si>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</si>
  <si>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</si>
  <si>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</si>
  <si>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</si>
  <si>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</si>
  <si>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</si>
  <si>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</si>
  <si>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</si>
  <si>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</si>
  <si>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</si>
  <si>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</si>
  <si>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</si>
  <si>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</si>
  <si>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</si>
  <si>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</si>
  <si>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</si>
  <si>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</si>
  <si>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</si>
  <si>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</si>
  <si>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</si>
  <si>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</si>
  <si>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</si>
  <si>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</si>
  <si>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</si>
  <si>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</si>
  <si>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</si>
  <si>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</si>
  <si>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</si>
  <si>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</si>
  <si>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</si>
  <si>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</si>
  <si>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</si>
  <si>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</si>
  <si>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</si>
  <si>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</si>
  <si>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</si>
  <si>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</si>
  <si>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</si>
  <si>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</si>
  <si>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</si>
  <si>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</si>
  <si>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</si>
  <si>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</si>
  <si>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</si>
  <si>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</si>
  <si>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</si>
  <si>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</si>
  <si>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</si>
  <si>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</si>
  <si>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</si>
  <si>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</si>
  <si>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</si>
  <si>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</si>
  <si>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</si>
  <si>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</si>
  <si>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</si>
  <si>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</si>
  <si>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</si>
  <si>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</si>
  <si>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</si>
  <si>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</si>
  <si>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</si>
  <si>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</si>
  <si>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</si>
  <si>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</si>
  <si>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</si>
  <si>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</si>
  <si>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</si>
  <si>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</si>
  <si>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</si>
  <si>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</si>
  <si>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</si>
  <si>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</si>
  <si>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</si>
  <si>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</si>
  <si>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</si>
  <si>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</si>
  <si>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</si>
  <si>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</si>
  <si>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</si>
  <si>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</si>
  <si>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</si>
  <si>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</si>
  <si>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</si>
  <si>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</si>
  <si>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</si>
  <si>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</si>
  <si>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</si>
  <si>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</si>
  <si>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</si>
  <si>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</si>
  <si>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</si>
  <si>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</si>
  <si>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</si>
  <si>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</si>
  <si>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</si>
  <si>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</si>
  <si>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</si>
  <si>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</si>
  <si>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</si>
  <si>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</si>
  <si>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</si>
  <si>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</si>
  <si>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</si>
  <si>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</si>
  <si>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</si>
  <si>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</si>
  <si>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</si>
  <si>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</si>
  <si>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</si>
  <si>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</si>
  <si>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</si>
  <si>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</si>
  <si>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</si>
  <si>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</si>
  <si>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</si>
  <si>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</si>
  <si>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</si>
  <si>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</si>
  <si>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</si>
  <si>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</si>
  <si>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</si>
  <si>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</si>
  <si>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</si>
  <si>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</si>
  <si>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</si>
  <si>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</si>
  <si>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</si>
  <si>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</si>
  <si>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</si>
  <si>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</si>
  <si>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</si>
  <si>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</si>
  <si>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</si>
  <si>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</si>
  <si>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</si>
  <si>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</si>
  <si>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</si>
  <si>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</si>
  <si>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</si>
  <si>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</si>
  <si>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</si>
  <si>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</si>
  <si>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</si>
  <si>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</si>
  <si>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</si>
  <si>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</si>
  <si>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</si>
  <si>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</si>
  <si>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</si>
  <si>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</si>
  <si>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</si>
  <si>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</si>
  <si>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</si>
  <si>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</si>
  <si>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</si>
  <si>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</si>
  <si>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</si>
  <si>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</si>
  <si>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</si>
  <si>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</si>
  <si>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</si>
  <si>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</si>
  <si>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</si>
  <si>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</si>
  <si>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</si>
  <si>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</si>
  <si>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</si>
  <si>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</si>
  <si>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</si>
  <si>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</si>
  <si>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</si>
  <si>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</si>
  <si>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</si>
  <si>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</si>
  <si>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</si>
  <si>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</si>
  <si>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</si>
  <si>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</si>
  <si>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</si>
  <si>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</si>
  <si>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</si>
  <si>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</si>
  <si>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</si>
  <si>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</si>
  <si>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</si>
  <si>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</si>
  <si>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</si>
  <si>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</si>
  <si>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</si>
  <si>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</si>
  <si>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</si>
  <si>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</si>
  <si>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</si>
  <si>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</si>
  <si>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</si>
  <si>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</si>
  <si>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</si>
  <si>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</si>
  <si>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</si>
  <si>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</si>
  <si>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</si>
  <si>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</si>
  <si>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</si>
  <si>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</si>
  <si>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</si>
  <si>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</si>
  <si>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</si>
  <si>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</si>
  <si>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</si>
  <si>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</si>
  <si>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</si>
  <si>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</si>
  <si>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</si>
  <si>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</si>
  <si>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</si>
  <si>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</si>
  <si>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</si>
  <si>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</si>
  <si>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</si>
  <si>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</si>
  <si>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</si>
  <si>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</si>
  <si>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</si>
  <si>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</si>
  <si>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</si>
  <si>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</si>
  <si>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</si>
  <si>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</si>
  <si>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</si>
  <si>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</si>
  <si>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</si>
  <si>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</si>
  <si>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</si>
  <si>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</si>
  <si>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</si>
  <si>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</si>
  <si>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</si>
  <si>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</si>
  <si>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</si>
  <si>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</si>
  <si>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</si>
  <si>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</si>
  <si>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</si>
  <si>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</si>
  <si>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</si>
  <si>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</si>
  <si>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</si>
  <si>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</si>
  <si>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</si>
  <si>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</si>
  <si>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</si>
  <si>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</si>
  <si>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</si>
  <si>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</si>
  <si>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</si>
  <si>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</si>
  <si>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</si>
  <si>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</si>
  <si>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</si>
  <si>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</si>
  <si>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</si>
  <si>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</si>
  <si>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</si>
  <si>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</si>
  <si>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</si>
  <si>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</si>
  <si>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</si>
  <si>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</si>
  <si>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</si>
  <si>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</si>
  <si>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</si>
  <si>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</si>
  <si>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</si>
  <si>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</si>
  <si>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</si>
  <si>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</si>
  <si>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</si>
  <si>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</si>
  <si>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</si>
  <si>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</si>
  <si>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</si>
  <si>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</si>
  <si>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</si>
  <si>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</si>
  <si>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</si>
  <si>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</si>
  <si>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</si>
  <si>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</si>
  <si>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</si>
  <si>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</si>
  <si>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</si>
  <si>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</si>
  <si>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</si>
  <si>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</si>
  <si>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</si>
  <si>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</si>
  <si>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</si>
  <si>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</si>
  <si>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</si>
  <si>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</si>
  <si>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</si>
  <si>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</si>
  <si>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</si>
  <si>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</si>
  <si>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</si>
  <si>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</si>
  <si>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</si>
  <si>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</si>
  <si>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</si>
  <si>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</si>
  <si>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</si>
  <si>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</si>
  <si>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</si>
  <si>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</si>
  <si>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</si>
  <si>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</si>
  <si>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</si>
  <si>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</si>
  <si>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</si>
  <si>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</si>
  <si>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</si>
  <si>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</si>
  <si>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</si>
  <si>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</si>
  <si>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</si>
  <si>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</si>
  <si>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</si>
  <si>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</si>
  <si>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</si>
  <si>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</si>
  <si>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</si>
  <si>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</si>
  <si>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</si>
  <si>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</si>
  <si>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</si>
  <si>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</si>
  <si>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</si>
  <si>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</si>
  <si>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</si>
  <si>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</si>
  <si>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</si>
  <si>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</si>
  <si>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</si>
  <si>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</si>
  <si>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</si>
  <si>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</si>
  <si>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</si>
  <si>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</si>
  <si>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</si>
  <si>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</si>
  <si>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</si>
  <si>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</si>
  <si>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</si>
  <si>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</si>
  <si>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</si>
  <si>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</si>
  <si>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</si>
  <si>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</si>
  <si>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</si>
  <si>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</si>
  <si>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</si>
  <si>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</si>
  <si>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</si>
  <si>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</si>
  <si>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</si>
  <si>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</si>
  <si>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</si>
  <si>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</si>
  <si>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</si>
  <si>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</si>
  <si>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</si>
  <si>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</si>
  <si>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</si>
  <si>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</si>
  <si>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</si>
  <si>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</si>
  <si>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</si>
  <si>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</si>
  <si>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</si>
  <si>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</si>
  <si>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</si>
  <si>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</si>
  <si>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</si>
  <si>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</si>
  <si>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</si>
  <si>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</si>
  <si>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</si>
  <si>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</si>
  <si>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</si>
  <si>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</si>
  <si>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</si>
  <si>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</si>
  <si>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</si>
  <si>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</si>
  <si>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</si>
  <si>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</si>
  <si>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</si>
  <si>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</si>
  <si>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</si>
  <si>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</si>
  <si>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</si>
  <si>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</si>
  <si>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</si>
  <si>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</si>
  <si>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</si>
  <si>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</si>
  <si>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</si>
  <si>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</si>
  <si>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</si>
  <si>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</si>
  <si>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</si>
  <si>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</si>
  <si>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</si>
  <si>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</si>
  <si>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</si>
  <si>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</si>
  <si>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</si>
  <si>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</si>
  <si>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</si>
  <si>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</si>
  <si>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</si>
  <si>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</si>
  <si>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</si>
  <si>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</si>
  <si>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</si>
  <si>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</si>
  <si>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</si>
  <si>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</si>
  <si>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</si>
  <si>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</si>
  <si>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</si>
  <si>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</si>
  <si>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</si>
  <si>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</si>
  <si>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</si>
  <si>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</si>
  <si>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</si>
  <si>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</si>
  <si>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</si>
  <si>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</si>
  <si>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</si>
  <si>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</si>
  <si>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</si>
  <si>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</si>
  <si>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</si>
  <si>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</si>
  <si>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</si>
  <si>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</si>
  <si>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</si>
  <si>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</si>
  <si>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</si>
  <si>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</si>
  <si>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</si>
  <si>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</si>
  <si>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</si>
  <si>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</si>
  <si>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</si>
  <si>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</si>
  <si>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</si>
  <si>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</si>
  <si>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</si>
  <si>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</si>
  <si>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</si>
  <si>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</si>
  <si>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</si>
  <si>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</si>
  <si>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</si>
  <si>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</si>
  <si>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</si>
  <si>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</si>
  <si>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</si>
  <si>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</si>
  <si>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</si>
  <si>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</si>
  <si>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</si>
  <si>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</si>
  <si>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</si>
  <si>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</si>
  <si>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</si>
  <si>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</si>
  <si>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</si>
  <si>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</si>
  <si>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</si>
  <si>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</si>
  <si>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</si>
  <si>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</si>
  <si>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</si>
  <si>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</si>
  <si>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</si>
  <si>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</si>
  <si>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</si>
  <si>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</si>
  <si>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</si>
  <si>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</si>
  <si>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</si>
  <si>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</si>
  <si>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</si>
  <si>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</si>
  <si>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</si>
  <si>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</si>
  <si>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</si>
  <si>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</si>
  <si>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</si>
  <si>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</si>
  <si>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</si>
  <si>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</si>
  <si>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</si>
  <si>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</si>
  <si>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</si>
  <si>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</si>
  <si>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</si>
  <si>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</si>
  <si>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</si>
  <si>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</si>
  <si>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</si>
  <si>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</si>
  <si>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</si>
  <si>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</si>
  <si>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</si>
  <si>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</si>
  <si>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</si>
  <si>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</si>
  <si>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</si>
  <si>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</si>
  <si>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</si>
  <si>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</si>
  <si>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</si>
  <si>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</si>
  <si>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</si>
  <si>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</si>
  <si>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</si>
  <si>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</si>
  <si>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</si>
  <si>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</si>
  <si>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</si>
  <si>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</si>
  <si>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</si>
  <si>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</si>
  <si>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</si>
  <si>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</si>
  <si>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</si>
  <si>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</si>
  <si>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</si>
  <si>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</si>
  <si>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</si>
  <si>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</si>
  <si>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</si>
  <si>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</si>
  <si>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</si>
  <si>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</si>
  <si>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</si>
  <si>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</si>
  <si>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</si>
  <si>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</si>
  <si>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</si>
  <si>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</si>
  <si>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</si>
  <si>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</si>
  <si>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</si>
  <si>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</si>
  <si>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</si>
  <si>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</si>
  <si>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</si>
  <si>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</si>
  <si>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</si>
  <si>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</si>
  <si>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</si>
  <si>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</si>
  <si>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</si>
  <si>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</si>
  <si>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</si>
  <si>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</si>
  <si>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</si>
  <si>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</si>
  <si>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</si>
  <si>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</si>
  <si>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</si>
  <si>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</si>
  <si>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</si>
  <si>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</si>
  <si>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</si>
  <si>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</si>
  <si>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</si>
  <si>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</si>
  <si>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</si>
  <si>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</si>
  <si>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</si>
  <si>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</si>
  <si>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</si>
  <si>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</si>
  <si>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</si>
  <si>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</si>
  <si>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</si>
  <si>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</si>
  <si>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</si>
  <si>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</si>
  <si>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</si>
  <si>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</si>
  <si>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</si>
  <si>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</si>
  <si>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</si>
  <si>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</si>
  <si>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</si>
  <si>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</si>
  <si>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</si>
  <si>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</si>
  <si>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</si>
  <si>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</si>
  <si>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</si>
  <si>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</si>
  <si>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</si>
  <si>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</si>
  <si>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</si>
  <si>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</si>
  <si>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</si>
  <si>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</si>
  <si>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</si>
  <si>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</si>
  <si>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</si>
  <si>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</si>
  <si>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</si>
  <si>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</si>
  <si>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</si>
  <si>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</si>
  <si>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</si>
  <si>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</si>
  <si>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</si>
  <si>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</si>
  <si>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</si>
  <si>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</si>
  <si>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</si>
  <si>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</si>
  <si>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</si>
  <si>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</si>
  <si>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</si>
  <si>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</si>
  <si>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</si>
  <si>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</si>
  <si>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</si>
  <si>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</si>
  <si>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</si>
  <si>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</si>
  <si>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</si>
  <si>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</si>
  <si>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</si>
  <si>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</si>
  <si>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</si>
  <si>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</si>
  <si>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</si>
  <si>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</si>
  <si>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</si>
  <si>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</si>
  <si>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</si>
  <si>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</si>
  <si>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</si>
  <si>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</si>
  <si>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</si>
  <si>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</si>
  <si>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</si>
  <si>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</si>
  <si>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</si>
  <si>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</si>
  <si>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</si>
  <si>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</si>
  <si>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</si>
  <si>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</si>
  <si>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</si>
  <si>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</si>
  <si>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</si>
  <si>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</si>
  <si>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</si>
  <si>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</si>
  <si>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</si>
  <si>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</si>
  <si>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</si>
  <si>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</si>
  <si>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</si>
  <si>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</si>
  <si>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</si>
  <si>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</si>
  <si>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</si>
  <si>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</si>
  <si>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</si>
  <si>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</si>
  <si>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</si>
  <si>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</si>
  <si>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</si>
  <si>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</si>
  <si>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</si>
  <si>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</si>
  <si>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</si>
  <si>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</si>
  <si>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</si>
  <si>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</si>
  <si>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</si>
  <si>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</si>
  <si>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</si>
  <si>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</si>
  <si>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</si>
  <si>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</si>
  <si>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</si>
  <si>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</si>
  <si>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</si>
  <si>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</si>
  <si>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</si>
  <si>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</si>
  <si>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</si>
  <si>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</si>
  <si>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</si>
  <si>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</si>
  <si>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</si>
  <si>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</si>
  <si>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</si>
  <si>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</si>
  <si>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</si>
  <si>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</si>
  <si>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</si>
  <si>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</si>
  <si>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</si>
  <si>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</si>
  <si>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</si>
  <si>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</si>
  <si>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</si>
  <si>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</si>
  <si>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</si>
  <si>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</si>
  <si>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</si>
  <si>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</si>
  <si>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</si>
  <si>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</si>
  <si>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</si>
  <si>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</si>
  <si>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</si>
  <si>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</si>
  <si>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</si>
  <si>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</si>
  <si>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</si>
  <si>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</si>
  <si>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</si>
  <si>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</si>
  <si>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</si>
  <si>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</si>
  <si>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</si>
  <si>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</si>
  <si>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</si>
  <si>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</si>
  <si>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</si>
  <si>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</si>
  <si>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</si>
  <si>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</si>
  <si>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</si>
  <si>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</si>
  <si>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</si>
  <si>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</si>
  <si>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</si>
  <si>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</si>
  <si>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</si>
  <si>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</si>
  <si>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</si>
  <si>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</si>
  <si>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</si>
  <si>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</si>
  <si>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</si>
  <si>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</si>
  <si>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</si>
  <si>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</si>
  <si>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</si>
  <si>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</si>
  <si>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</si>
  <si>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</si>
  <si>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</si>
  <si>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</si>
  <si>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</si>
  <si>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</si>
  <si>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</si>
  <si>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</si>
  <si>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</si>
  <si>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</si>
  <si>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</si>
  <si>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</si>
  <si>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</si>
  <si>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</si>
  <si>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</si>
  <si>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</si>
  <si>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</si>
  <si>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</si>
  <si>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</si>
  <si>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</si>
  <si>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</si>
  <si>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</si>
  <si>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</si>
  <si>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</si>
  <si>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</si>
  <si>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</si>
  <si>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</si>
  <si>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</si>
  <si>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</si>
  <si>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</si>
  <si>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</si>
  <si>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</si>
  <si>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</si>
  <si>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</si>
  <si>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</si>
  <si>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</si>
  <si>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</si>
  <si>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</si>
  <si>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</si>
  <si>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</si>
  <si>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</si>
  <si>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</si>
  <si>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</si>
  <si>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</si>
  <si>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</si>
  <si>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</si>
  <si>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</si>
  <si>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</si>
  <si>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</si>
  <si>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</si>
  <si>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</si>
  <si>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</si>
  <si>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</si>
  <si>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</si>
  <si>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</si>
  <si>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</si>
  <si>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</si>
  <si>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</si>
  <si>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</si>
  <si>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</si>
  <si>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</si>
  <si>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</si>
  <si>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</si>
  <si>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</si>
  <si>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</si>
  <si>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</si>
  <si>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</si>
  <si>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</si>
  <si>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</si>
  <si>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</si>
  <si>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</si>
  <si>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</si>
  <si>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</si>
  <si>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</si>
  <si>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</si>
  <si>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</si>
  <si>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</si>
  <si>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</si>
  <si>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</si>
  <si>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</si>
  <si>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</si>
  <si>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</si>
  <si>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</si>
  <si>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</si>
  <si>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</si>
  <si>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</si>
  <si>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</si>
  <si>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</si>
  <si>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</si>
  <si>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</si>
  <si>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</si>
  <si>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</si>
  <si>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</si>
  <si>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</si>
  <si>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</si>
  <si>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</si>
  <si>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</si>
  <si>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</si>
  <si>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</si>
  <si>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</si>
  <si>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</si>
  <si>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</si>
  <si>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</si>
  <si>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</si>
  <si>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</si>
  <si>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</si>
  <si>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</si>
  <si>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</si>
  <si>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</si>
  <si>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</si>
  <si>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</si>
  <si>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</si>
  <si>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</si>
  <si>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</si>
  <si>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</si>
  <si>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</si>
  <si>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</si>
  <si>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</si>
  <si>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</si>
  <si>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</si>
  <si>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</si>
  <si>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</si>
  <si>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</si>
  <si>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</si>
  <si>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</si>
  <si>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</si>
  <si>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</si>
  <si>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</si>
  <si>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</si>
  <si>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</si>
  <si>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</si>
  <si>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</si>
  <si>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</si>
  <si>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</si>
  <si>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</si>
  <si>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</si>
  <si>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</si>
  <si>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</si>
  <si>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</si>
  <si>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</si>
  <si>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</si>
  <si>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</si>
  <si>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</si>
  <si>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</si>
  <si>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</si>
  <si>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</si>
  <si>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</si>
  <si>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</si>
  <si>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</si>
  <si>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</si>
  <si>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</si>
  <si>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</si>
  <si>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</si>
  <si>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</si>
  <si>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</si>
  <si>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</si>
  <si>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</si>
  <si>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</si>
  <si>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</si>
  <si>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</si>
  <si>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</si>
  <si>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</si>
  <si>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</si>
  <si>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</si>
  <si>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</si>
  <si>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</si>
  <si>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</si>
  <si>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</si>
  <si>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</si>
  <si>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</si>
  <si>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</si>
  <si>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</si>
  <si>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</si>
  <si>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</si>
  <si>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</si>
  <si>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</si>
  <si>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</si>
  <si>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</si>
  <si>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</si>
  <si>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</si>
  <si>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</si>
  <si>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</si>
  <si>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</si>
  <si>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</si>
  <si>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</si>
  <si>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</si>
  <si>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</si>
  <si>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</si>
  <si>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</si>
  <si>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</si>
  <si>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</si>
  <si>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</si>
  <si>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</si>
  <si>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</si>
  <si>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</si>
  <si>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</si>
  <si>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</si>
  <si>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</si>
  <si>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</si>
  <si>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</si>
  <si>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</si>
  <si>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</si>
  <si>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</si>
  <si>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</si>
  <si>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</si>
  <si>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</si>
  <si>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</si>
  <si>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</si>
  <si>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</si>
  <si>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</si>
  <si>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</si>
  <si>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</si>
  <si>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</si>
  <si>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</si>
  <si>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</si>
  <si>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</si>
  <si>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</si>
  <si>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</si>
  <si>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</si>
  <si>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</si>
  <si>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</si>
  <si>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</si>
  <si>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</si>
  <si>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</si>
  <si>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</si>
  <si>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</si>
  <si>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</si>
  <si>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</si>
  <si>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</si>
  <si>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</si>
  <si>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</si>
  <si>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</si>
  <si>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</si>
  <si>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</si>
  <si>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</si>
  <si>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</si>
  <si>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</si>
  <si>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</si>
  <si>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</si>
  <si>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</si>
  <si>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</si>
  <si>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</si>
  <si>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</si>
  <si>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</si>
  <si>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</si>
  <si>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</si>
  <si>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</si>
  <si>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</si>
  <si>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</si>
  <si>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</si>
  <si>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</si>
  <si>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</si>
  <si>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</si>
  <si>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</si>
  <si>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</si>
  <si>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</si>
  <si>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</si>
  <si>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</si>
  <si>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</si>
  <si>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</si>
  <si>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</si>
  <si>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</si>
  <si>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</si>
  <si>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</si>
  <si>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</si>
  <si>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</si>
  <si>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</si>
  <si>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</si>
  <si>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</si>
  <si>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</si>
  <si>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</si>
  <si>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</si>
  <si>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</si>
  <si>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</si>
  <si>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</si>
  <si>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</si>
  <si>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</si>
  <si>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</si>
  <si>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</si>
  <si>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</si>
  <si>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</si>
  <si>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</si>
  <si>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</si>
  <si>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</si>
  <si>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</si>
  <si>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</si>
  <si>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</si>
  <si>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</si>
  <si>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</si>
  <si>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</si>
  <si>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</si>
  <si>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</si>
  <si>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</si>
  <si>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</si>
  <si>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</si>
  <si>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</si>
  <si>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</si>
  <si>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</si>
  <si>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</si>
  <si>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</si>
  <si>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</si>
  <si>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</si>
  <si>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</si>
  <si>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</si>
  <si>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</si>
  <si>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</si>
  <si>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</si>
  <si>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</si>
  <si>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</si>
  <si>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</si>
  <si>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</si>
  <si>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</si>
  <si>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</si>
  <si>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</si>
  <si>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</si>
  <si>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</si>
  <si>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</si>
  <si>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</si>
  <si>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</si>
  <si>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</si>
  <si>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</si>
  <si>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</si>
  <si>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</si>
  <si>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</si>
  <si>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</si>
  <si>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</si>
  <si>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</si>
  <si>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</si>
  <si>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</si>
  <si>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</si>
  <si>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</si>
  <si>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</si>
  <si>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</si>
  <si>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</si>
  <si>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</si>
  <si>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</si>
  <si>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</si>
  <si>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</si>
  <si>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</si>
  <si>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</si>
  <si>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</si>
  <si>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</si>
  <si>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</si>
  <si>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</si>
  <si>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</si>
  <si>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</si>
  <si>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</si>
  <si>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</si>
  <si>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</si>
  <si>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</si>
  <si>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</si>
  <si>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</si>
  <si>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</si>
  <si>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</si>
  <si>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</si>
  <si>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</si>
  <si>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</si>
  <si>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</si>
  <si>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</si>
  <si>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</si>
  <si>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</si>
  <si>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</si>
  <si>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</si>
  <si>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</si>
  <si>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</si>
  <si>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</si>
  <si>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</si>
  <si>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</si>
  <si>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</si>
  <si>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</si>
  <si>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</si>
  <si>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</si>
  <si>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</si>
  <si>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</si>
  <si>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</si>
  <si>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</si>
  <si>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</si>
  <si>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</si>
  <si>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</si>
  <si>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</si>
  <si>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</si>
  <si>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</si>
  <si>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</si>
  <si>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</si>
  <si>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</si>
  <si>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</si>
  <si>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</si>
  <si>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</si>
  <si>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</si>
  <si>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</si>
  <si>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</si>
  <si>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</si>
  <si>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</si>
  <si>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</si>
  <si>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</si>
  <si>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</si>
  <si>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</si>
  <si>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</si>
  <si>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</si>
  <si>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</si>
  <si>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</si>
  <si>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</si>
  <si>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</si>
  <si>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</si>
  <si>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</si>
  <si>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</si>
  <si>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</si>
  <si>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</si>
  <si>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</si>
  <si>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</si>
  <si>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</si>
  <si>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</si>
  <si>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</si>
  <si>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</si>
  <si>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</si>
  <si>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</si>
  <si>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</si>
  <si>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</si>
  <si>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</si>
  <si>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</si>
  <si>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</si>
  <si>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</si>
  <si>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</si>
  <si>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</si>
  <si>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</si>
  <si>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</si>
  <si>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</si>
  <si>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</si>
  <si>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</si>
  <si>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</si>
  <si>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</si>
  <si>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</si>
  <si>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</si>
  <si>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</si>
  <si>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</si>
  <si>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</si>
  <si>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</si>
  <si>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</si>
  <si>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</si>
  <si>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</si>
  <si>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</si>
  <si>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</si>
  <si>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</si>
  <si>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</si>
  <si>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</si>
  <si>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</si>
  <si>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</si>
  <si>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</si>
  <si>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</si>
  <si>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</si>
  <si>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</si>
  <si>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</si>
  <si>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</si>
  <si>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</si>
  <si>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</si>
  <si>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</si>
  <si>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</si>
  <si>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</si>
  <si>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</si>
  <si>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</si>
  <si>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</si>
  <si>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</si>
  <si>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</si>
  <si>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</si>
  <si>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</si>
  <si>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</si>
  <si>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</si>
  <si>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</si>
  <si>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</si>
  <si>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</si>
  <si>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</si>
  <si>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</si>
  <si>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</si>
  <si>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</si>
  <si>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</si>
  <si>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</si>
  <si>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</si>
  <si>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</si>
  <si>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</si>
  <si>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</si>
  <si>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</si>
  <si>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</si>
  <si>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</si>
  <si>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</si>
  <si>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</si>
  <si>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</si>
  <si>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</si>
  <si>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</si>
  <si>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</si>
  <si>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</si>
  <si>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</si>
  <si>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</si>
  <si>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</si>
  <si>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</si>
  <si>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</si>
  <si>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</si>
  <si>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</si>
  <si>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</si>
  <si>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</si>
  <si>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</si>
  <si>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</si>
  <si>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</si>
  <si>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</si>
  <si>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</si>
  <si>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</si>
  <si>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</si>
  <si>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</si>
  <si>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</si>
  <si>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</si>
  <si>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</si>
  <si>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</si>
  <si>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</si>
  <si>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</si>
  <si>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</si>
  <si>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</si>
  <si>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</si>
  <si>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</si>
  <si>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</si>
  <si>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</si>
  <si>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</si>
  <si>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</si>
  <si>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</si>
  <si>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</si>
  <si>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</si>
  <si>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</si>
  <si>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</si>
  <si>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</si>
  <si>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</si>
  <si>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</si>
  <si>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</si>
  <si>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</si>
  <si>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</si>
  <si>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</si>
  <si>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</si>
  <si>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</si>
  <si>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</si>
  <si>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</si>
  <si>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</si>
  <si>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</si>
  <si>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</si>
  <si>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</si>
  <si>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</si>
  <si>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</si>
  <si>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</si>
  <si>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</si>
  <si>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</si>
  <si>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</si>
  <si>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</si>
  <si>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</si>
  <si>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</si>
  <si>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</si>
  <si>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</si>
  <si>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</si>
  <si>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</si>
  <si>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</si>
  <si>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</si>
  <si>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</si>
  <si>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</si>
  <si>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</si>
  <si>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</si>
  <si>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</si>
  <si>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</si>
  <si>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</si>
  <si>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</si>
  <si>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</si>
  <si>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</si>
  <si>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</si>
  <si>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</si>
  <si>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</si>
  <si>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</si>
  <si>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</si>
  <si>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</si>
  <si>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</si>
  <si>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</si>
  <si>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</si>
  <si>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</si>
  <si>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</si>
  <si>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</si>
  <si>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</si>
  <si>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</si>
  <si>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</si>
  <si>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</si>
  <si>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</si>
  <si>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</si>
  <si>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</si>
  <si>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</si>
  <si>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</si>
  <si>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</si>
  <si>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</si>
  <si>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</si>
  <si>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</si>
  <si>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</si>
  <si>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</si>
  <si>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</si>
  <si>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</si>
  <si>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</si>
  <si>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</si>
  <si>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</si>
  <si>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</si>
  <si>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</si>
  <si>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</si>
  <si>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</si>
  <si>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</si>
  <si>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</si>
  <si>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</si>
  <si>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</si>
  <si>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</si>
  <si>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</si>
  <si>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</si>
  <si>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</si>
  <si>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</si>
  <si>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</si>
  <si>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</si>
  <si>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</si>
  <si>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</si>
  <si>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</si>
  <si>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</si>
  <si>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</si>
  <si>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</si>
  <si>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</si>
  <si>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</si>
  <si>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</si>
  <si>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</si>
  <si>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</si>
  <si>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</si>
  <si>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</si>
  <si>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</si>
  <si>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</si>
  <si>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</si>
  <si>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</si>
  <si>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</si>
  <si>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</si>
  <si>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</si>
  <si>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</si>
  <si>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</si>
  <si>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</si>
  <si>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</si>
  <si>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</si>
  <si>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</si>
  <si>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</si>
  <si>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</si>
  <si>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</si>
  <si>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</si>
  <si>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</si>
  <si>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</si>
  <si>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</si>
  <si>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</si>
  <si>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</si>
  <si>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</si>
  <si>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</si>
  <si>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</si>
  <si>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</si>
  <si>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</si>
  <si>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</si>
  <si>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</si>
  <si>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</si>
  <si>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</si>
  <si>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</si>
  <si>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</si>
  <si>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</si>
  <si>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</si>
  <si>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</si>
  <si>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</si>
  <si>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</si>
  <si>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</si>
  <si>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</si>
  <si>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</si>
  <si>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</si>
  <si>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</si>
  <si>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</si>
  <si>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</si>
  <si>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</si>
  <si>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</si>
  <si>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</si>
  <si>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</si>
  <si>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</si>
  <si>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</si>
  <si>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</si>
  <si>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</si>
  <si>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</si>
  <si>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</si>
  <si>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</si>
  <si>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</si>
  <si>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</si>
  <si>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</si>
  <si>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</si>
  <si>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</si>
  <si>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</si>
  <si>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</si>
  <si>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</si>
  <si>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</si>
  <si>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</si>
  <si>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</si>
  <si>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</si>
  <si>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</si>
  <si>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</si>
  <si>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</si>
  <si>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</si>
  <si>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</si>
  <si>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</si>
  <si>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</si>
  <si>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</si>
  <si>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</si>
  <si>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</si>
  <si>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</si>
  <si>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</si>
  <si>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</si>
  <si>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</si>
  <si>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</si>
  <si>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</si>
  <si>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</si>
  <si>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</si>
  <si>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</si>
  <si>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</si>
  <si>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</si>
  <si>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</si>
  <si>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</si>
  <si>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</si>
  <si>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</si>
  <si>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</si>
  <si>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</si>
  <si>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</si>
  <si>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</si>
  <si>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</si>
  <si>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</si>
  <si>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</si>
  <si>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</si>
  <si>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</si>
  <si>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</si>
  <si>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</si>
  <si>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</si>
  <si>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</si>
  <si>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</si>
  <si>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</si>
  <si>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</si>
  <si>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</si>
  <si>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</si>
  <si>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</si>
  <si>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</si>
  <si>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</si>
  <si>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</si>
  <si>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</si>
  <si>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</si>
  <si>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</si>
  <si>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</si>
  <si>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</si>
  <si>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</si>
  <si>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</si>
  <si>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</si>
  <si>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</si>
  <si>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</si>
  <si>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</si>
  <si>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</si>
  <si>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</si>
  <si>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</si>
  <si>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</si>
  <si>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</si>
  <si>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</si>
  <si>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</si>
  <si>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</si>
  <si>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</si>
  <si>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</si>
  <si>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</si>
  <si>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</si>
  <si>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</si>
  <si>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</si>
  <si>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</si>
  <si>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</si>
  <si>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</si>
  <si>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</si>
  <si>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</si>
  <si>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</si>
  <si>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</si>
  <si>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</si>
  <si>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</si>
  <si>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</si>
  <si>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</si>
  <si>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</si>
  <si>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</si>
  <si>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</si>
  <si>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</si>
  <si>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</si>
  <si>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</si>
  <si>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</si>
  <si>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</si>
  <si>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</si>
  <si>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</si>
  <si>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</si>
  <si>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</si>
  <si>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</si>
  <si>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</si>
  <si>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</si>
  <si>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</si>
  <si>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</si>
  <si>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</si>
  <si>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</si>
  <si>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</si>
  <si>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</si>
  <si>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</si>
  <si>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</si>
  <si>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</si>
  <si>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</si>
  <si>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</si>
  <si>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</si>
  <si>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</si>
  <si>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</si>
  <si>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</si>
  <si>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</si>
  <si>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</si>
  <si>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</si>
  <si>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</si>
  <si>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</si>
  <si>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</si>
  <si>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</si>
  <si>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</si>
  <si>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</si>
  <si>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</si>
  <si>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</si>
  <si>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</si>
  <si>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</si>
  <si>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</si>
  <si>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</si>
  <si>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</si>
  <si>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</si>
  <si>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</si>
  <si>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</si>
  <si>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</si>
  <si>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</si>
  <si>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</si>
  <si>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</si>
  <si>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</si>
  <si>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</si>
  <si>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</si>
  <si>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</si>
  <si>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</si>
  <si>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</si>
  <si>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</si>
  <si>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</si>
  <si>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</si>
  <si>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</si>
  <si>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</si>
  <si>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</si>
  <si>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</si>
  <si>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</si>
  <si>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</si>
  <si>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</si>
  <si>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</si>
  <si>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</si>
  <si>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</si>
  <si>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</si>
  <si>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</si>
  <si>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</si>
  <si>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</si>
  <si>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</si>
  <si>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</si>
  <si>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</si>
  <si>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</si>
  <si>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</si>
  <si>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</si>
  <si>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</si>
  <si>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</si>
  <si>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</si>
  <si>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</si>
  <si>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</si>
  <si>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</si>
  <si>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</si>
  <si>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</si>
  <si>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</si>
  <si>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</si>
  <si>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</si>
  <si>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</si>
  <si>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</si>
  <si>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</si>
  <si>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</si>
  <si>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</si>
  <si>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</si>
  <si>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</si>
  <si>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</si>
  <si>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</si>
  <si>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</si>
  <si>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</si>
  <si>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</si>
  <si>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</si>
  <si>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</si>
  <si>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</si>
  <si>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</si>
  <si>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</si>
  <si>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</si>
  <si>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</si>
  <si>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</si>
  <si>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</si>
  <si>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</si>
  <si>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</si>
  <si>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</si>
  <si>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</si>
  <si>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</si>
  <si>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</si>
  <si>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</si>
  <si>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</si>
  <si>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</si>
  <si>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</si>
  <si>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</si>
  <si>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</si>
  <si>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</si>
  <si>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</si>
  <si>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</si>
  <si>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</si>
  <si>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</si>
  <si>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</si>
  <si>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</si>
  <si>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</si>
  <si>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</si>
  <si>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</si>
  <si>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</si>
  <si>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</si>
  <si>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</si>
  <si>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</si>
  <si>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</si>
  <si>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</si>
  <si>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</si>
  <si>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</si>
  <si>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</si>
  <si>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</si>
  <si>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</si>
  <si>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</si>
  <si>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</si>
  <si>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</si>
  <si>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</si>
  <si>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</si>
  <si>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</si>
  <si>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</si>
  <si>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</si>
  <si>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</si>
  <si>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</si>
  <si>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</si>
  <si>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</si>
  <si>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</si>
  <si>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</si>
  <si>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</si>
  <si>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</si>
  <si>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</si>
  <si>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</si>
  <si>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</si>
  <si>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</si>
  <si>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</si>
  <si>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</si>
  <si>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</si>
  <si>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</si>
  <si>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</si>
  <si>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</si>
  <si>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</si>
  <si>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</si>
  <si>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</si>
  <si>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</si>
  <si>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</si>
  <si>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</si>
  <si>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</si>
  <si>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</si>
  <si>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</si>
  <si>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</si>
  <si>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</si>
  <si>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</si>
  <si>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</si>
  <si>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</si>
  <si>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</si>
  <si>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</si>
  <si>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</si>
  <si>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</si>
  <si>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</si>
  <si>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</si>
  <si>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</si>
  <si>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</si>
  <si>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</si>
  <si>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</si>
  <si>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</si>
  <si>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</si>
  <si>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</si>
  <si>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</si>
  <si>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</si>
  <si>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</si>
  <si>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</si>
  <si>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</si>
  <si>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</si>
  <si>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</si>
  <si>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</si>
  <si>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</si>
  <si>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</si>
  <si>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</si>
  <si>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</si>
  <si>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</si>
  <si>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</si>
  <si>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</si>
  <si>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</si>
  <si>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</si>
  <si>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</si>
  <si>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</si>
  <si>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</si>
  <si>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</si>
  <si>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</si>
  <si>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</si>
  <si>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</si>
  <si>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</si>
  <si>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</si>
  <si>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</si>
  <si>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</si>
  <si>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</si>
  <si>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</si>
  <si>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</si>
  <si>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</si>
  <si>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</si>
  <si>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</si>
  <si>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</si>
  <si>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</si>
  <si>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</si>
  <si>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</si>
  <si>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</si>
  <si>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</si>
  <si>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</si>
  <si>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</si>
  <si>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</si>
  <si>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</si>
  <si>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</si>
  <si>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</si>
  <si>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</si>
  <si>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</si>
  <si>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</si>
  <si>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</si>
  <si>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</si>
  <si>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</si>
  <si>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</si>
  <si>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</si>
  <si>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</si>
  <si>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</si>
  <si>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</si>
  <si>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</si>
  <si>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</si>
  <si>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</si>
  <si>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</si>
  <si>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</si>
  <si>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</si>
  <si>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</si>
  <si>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</si>
  <si>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</si>
  <si>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</si>
  <si>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</si>
  <si>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</si>
  <si>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</si>
  <si>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</si>
  <si>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</si>
  <si>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</si>
  <si>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</si>
  <si>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</si>
  <si>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</si>
  <si>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</si>
  <si>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</si>
  <si>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</si>
  <si>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</si>
  <si>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</si>
  <si>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</si>
  <si>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</si>
  <si>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</si>
  <si>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</si>
  <si>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</si>
  <si>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</si>
  <si>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</si>
  <si>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</si>
  <si>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</si>
  <si>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</si>
  <si>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</si>
  <si>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</si>
  <si>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</si>
  <si>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</si>
  <si>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</si>
  <si>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</si>
  <si>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</si>
  <si>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</si>
  <si>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</si>
  <si>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</si>
  <si>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</si>
  <si>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</si>
  <si>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</si>
  <si>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</si>
  <si>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</si>
  <si>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</si>
  <si>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</si>
  <si>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</si>
  <si>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</si>
  <si>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</si>
  <si>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</si>
  <si>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</si>
  <si>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</si>
  <si>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</si>
  <si>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</si>
  <si>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</si>
  <si>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</si>
  <si>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</si>
  <si>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</si>
  <si>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</si>
  <si>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</si>
  <si>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</si>
  <si>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</si>
  <si>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</si>
  <si>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</si>
  <si>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</si>
  <si>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</si>
  <si>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</si>
  <si>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</si>
  <si>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</si>
  <si>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</si>
  <si>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</si>
  <si>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</si>
  <si>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</si>
  <si>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</si>
  <si>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</si>
  <si>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</si>
  <si>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</si>
  <si>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</si>
  <si>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</si>
  <si>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</si>
  <si>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</si>
  <si>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</si>
  <si>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</si>
  <si>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</si>
  <si>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</si>
  <si>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</si>
  <si>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</si>
  <si>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</si>
  <si>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</si>
  <si>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</si>
  <si>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</si>
  <si>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</si>
  <si>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</si>
  <si>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</si>
  <si>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</si>
  <si>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</si>
  <si>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</si>
  <si>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</si>
  <si>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</si>
  <si>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</si>
  <si>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</si>
  <si>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</si>
  <si>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</si>
  <si>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</si>
  <si>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</si>
  <si>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</si>
  <si>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</si>
  <si>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</si>
  <si>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</si>
  <si>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</si>
  <si>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</si>
  <si>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</si>
  <si>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</si>
  <si>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</si>
  <si>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</si>
  <si>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</si>
  <si>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</si>
  <si>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</si>
  <si>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</si>
  <si>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</si>
  <si>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</si>
  <si>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</si>
  <si>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</si>
  <si>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</si>
  <si>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</si>
  <si>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</si>
  <si>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</si>
  <si>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</si>
  <si>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</si>
  <si>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</si>
  <si>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</si>
  <si>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</si>
  <si>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</si>
  <si>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</si>
  <si>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</si>
  <si>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</si>
  <si>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</si>
  <si>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</si>
  <si>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</si>
  <si>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</si>
  <si>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</si>
  <si>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</si>
  <si>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</si>
  <si>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</si>
  <si>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</si>
  <si>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</si>
  <si>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</si>
  <si>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</si>
  <si>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</si>
  <si>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</si>
  <si>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</si>
  <si>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</si>
  <si>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</si>
  <si>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</si>
  <si>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</si>
  <si>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</si>
  <si>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</si>
  <si>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</si>
  <si>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</si>
  <si>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</si>
  <si>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</si>
  <si>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</si>
  <si>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</si>
  <si>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</si>
  <si>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</si>
  <si>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</si>
  <si>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</si>
  <si>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</si>
  <si>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</si>
  <si>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</si>
  <si>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</si>
  <si>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</si>
  <si>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</si>
  <si>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</si>
  <si>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</si>
  <si>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</si>
  <si>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</si>
  <si>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</si>
  <si>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</si>
  <si>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</si>
  <si>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</si>
  <si>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</si>
  <si>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</si>
  <si>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</si>
  <si>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</si>
  <si>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</si>
  <si>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</si>
  <si>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</si>
  <si>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</si>
  <si>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</si>
  <si>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</si>
  <si>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</si>
  <si>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</si>
  <si>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</si>
  <si>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</si>
  <si>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</si>
  <si>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</si>
  <si>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</si>
  <si>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</si>
  <si>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</si>
  <si>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</si>
  <si>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</si>
  <si>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</si>
  <si>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</si>
  <si>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</si>
  <si>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</si>
  <si>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</si>
  <si>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</si>
  <si>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</si>
  <si>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</si>
  <si>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</si>
  <si>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</si>
  <si>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</si>
  <si>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</si>
  <si>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</si>
  <si>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</si>
  <si>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</si>
  <si>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</si>
  <si>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</si>
  <si>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</si>
  <si>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</si>
  <si>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</si>
  <si>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</si>
  <si>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</si>
  <si>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</si>
  <si>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</si>
  <si>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</si>
  <si>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</si>
  <si>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</si>
  <si>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</si>
  <si>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</si>
  <si>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</si>
  <si>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</si>
  <si>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</si>
  <si>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</si>
  <si>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</si>
  <si>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</si>
  <si>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</si>
  <si>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</si>
  <si>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</si>
  <si>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</si>
  <si>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</si>
  <si>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</si>
  <si>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</si>
  <si>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</si>
  <si>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</si>
  <si>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</si>
  <si>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</si>
  <si>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</si>
  <si>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</si>
  <si>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</si>
  <si>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</si>
  <si>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</si>
  <si>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</si>
  <si>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</si>
  <si>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</si>
  <si>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</si>
  <si>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</si>
  <si>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</si>
  <si>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</si>
  <si>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</si>
  <si>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</si>
  <si>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</si>
  <si>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</si>
  <si>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</si>
  <si>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</si>
  <si>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</si>
  <si>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</si>
  <si>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</si>
  <si>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</si>
  <si>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</si>
  <si>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</si>
  <si>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</si>
  <si>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</si>
  <si>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</si>
  <si>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</si>
  <si>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</si>
  <si>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</si>
  <si>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</si>
  <si>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</si>
  <si>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</si>
  <si>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</si>
  <si>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</si>
  <si>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</si>
  <si>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</si>
  <si>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</si>
  <si>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</si>
  <si>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</si>
  <si>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</si>
  <si>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</si>
  <si>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</si>
  <si>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</si>
  <si>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</si>
  <si>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</si>
  <si>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</si>
  <si>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</si>
  <si>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</si>
  <si>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</si>
  <si>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</si>
  <si>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</si>
  <si>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</si>
  <si>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</si>
  <si>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</si>
  <si>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</si>
  <si>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</si>
  <si>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</si>
  <si>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</si>
  <si>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</si>
  <si>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</si>
  <si>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</si>
  <si>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</si>
  <si>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</si>
  <si>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</si>
  <si>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</si>
  <si>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</si>
  <si>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</si>
  <si>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</si>
  <si>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</si>
  <si>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</si>
  <si>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</si>
  <si>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</si>
  <si>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</si>
  <si>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</si>
  <si>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</si>
  <si>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</si>
  <si>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</si>
  <si>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</si>
  <si>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</si>
  <si>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</si>
  <si>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</si>
  <si>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</si>
  <si>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</si>
  <si>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</si>
  <si>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</si>
  <si>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</si>
  <si>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</si>
  <si>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</si>
  <si>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</si>
  <si>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</si>
  <si>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</si>
  <si>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</si>
  <si>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</si>
  <si>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</si>
  <si>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</si>
  <si>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</si>
  <si>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</si>
  <si>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</si>
  <si>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</si>
  <si>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</si>
  <si>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</si>
  <si>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</si>
  <si>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</si>
  <si>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</si>
  <si>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</si>
  <si>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</si>
  <si>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</si>
  <si>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</si>
  <si>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</si>
  <si>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</si>
  <si>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</si>
  <si>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</si>
  <si>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</si>
  <si>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</si>
  <si>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</si>
  <si>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</si>
  <si>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</si>
  <si>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</si>
  <si>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</si>
  <si>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</si>
  <si>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</si>
  <si>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</si>
  <si>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</si>
  <si>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</si>
  <si>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</si>
  <si>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</si>
  <si>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</si>
  <si>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</si>
  <si>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</si>
  <si>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</si>
  <si>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</si>
  <si>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</si>
  <si>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</si>
  <si>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</si>
  <si>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</si>
  <si>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</si>
  <si>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</si>
  <si>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</si>
  <si>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</si>
  <si>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</si>
  <si>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</si>
  <si>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</si>
  <si>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</si>
  <si>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</si>
  <si>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</si>
  <si>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</si>
  <si>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</si>
  <si>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</si>
  <si>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</si>
  <si>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</si>
  <si>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</si>
  <si>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</si>
  <si>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</si>
  <si>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</si>
  <si>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</si>
  <si>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</si>
  <si>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</si>
  <si>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</si>
  <si>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</si>
  <si>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</si>
  <si>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</si>
  <si>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</si>
  <si>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</si>
  <si>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</si>
  <si>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</si>
  <si>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</si>
  <si>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</si>
  <si>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</si>
  <si>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</si>
  <si>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</si>
  <si>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</si>
  <si>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</si>
  <si>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</si>
  <si>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</si>
  <si>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</si>
  <si>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</si>
  <si>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</si>
  <si>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</si>
  <si>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</si>
  <si>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</si>
  <si>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</si>
  <si>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</si>
  <si>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</si>
  <si>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</si>
  <si>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</si>
  <si>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</si>
  <si>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</si>
  <si>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</si>
  <si>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</si>
  <si>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</si>
  <si>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</si>
  <si>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</si>
  <si>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</si>
  <si>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</si>
  <si>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</si>
  <si>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</si>
  <si>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</si>
  <si>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</si>
  <si>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</si>
  <si>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</si>
  <si>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</si>
  <si>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</si>
  <si>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</si>
  <si>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</si>
  <si>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</si>
  <si>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</si>
  <si>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</si>
  <si>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</si>
  <si>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</si>
  <si>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</si>
  <si>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</si>
  <si>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</si>
  <si>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</si>
  <si>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</si>
  <si>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</si>
  <si>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</si>
  <si>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</si>
  <si>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</si>
  <si>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</si>
  <si>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</si>
  <si>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</si>
  <si>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</si>
  <si>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</si>
  <si>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</si>
  <si>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</si>
  <si>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</si>
  <si>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</si>
  <si>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</si>
  <si>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</si>
  <si>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</si>
  <si>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</si>
  <si>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</si>
  <si>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</si>
  <si>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</si>
  <si>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</si>
  <si>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</si>
  <si>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</si>
  <si>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</si>
  <si>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</si>
  <si>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</si>
  <si>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</si>
  <si>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</si>
  <si>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</si>
  <si>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</si>
  <si>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</si>
  <si>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</si>
  <si>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</si>
  <si>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</si>
  <si>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</si>
  <si>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</si>
  <si>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</si>
  <si>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</si>
  <si>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</si>
  <si>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</si>
  <si>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</si>
  <si>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</si>
  <si>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</si>
  <si>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</si>
  <si>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</si>
  <si>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</si>
  <si>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</si>
  <si>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</si>
  <si>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</si>
  <si>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</si>
  <si>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</si>
  <si>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</si>
  <si>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</si>
  <si>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</si>
  <si>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</si>
  <si>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</si>
  <si>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</si>
  <si>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</si>
  <si>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</si>
  <si>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</si>
  <si>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</si>
  <si>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</si>
  <si>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</si>
  <si>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</si>
  <si>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</si>
  <si>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</si>
  <si>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</si>
  <si>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</si>
  <si>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</si>
  <si>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</si>
  <si>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</si>
  <si>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</si>
  <si>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</si>
  <si>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</si>
  <si>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</si>
  <si>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</si>
  <si>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</si>
  <si>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</si>
  <si>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</si>
  <si>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</si>
  <si>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</si>
  <si>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</si>
  <si>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</si>
  <si>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</si>
  <si>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</si>
  <si>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</si>
  <si>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</si>
  <si>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</si>
  <si>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</si>
  <si>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</si>
  <si>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</si>
  <si>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</si>
  <si>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</si>
  <si>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</si>
  <si>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</si>
  <si>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</si>
  <si>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</si>
  <si>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</si>
  <si>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</si>
  <si>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</si>
  <si>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</si>
  <si>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</si>
  <si>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</si>
  <si>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</si>
  <si>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</si>
  <si>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</si>
  <si>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</si>
  <si>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</si>
  <si>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</si>
  <si>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</si>
  <si>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</si>
  <si>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</si>
  <si>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</si>
  <si>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</si>
  <si>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</si>
  <si>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</si>
  <si>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</si>
  <si>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</si>
  <si>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</si>
  <si>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</si>
  <si>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</si>
  <si>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</si>
  <si>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</si>
  <si>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</si>
  <si>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</si>
  <si>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</si>
  <si>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</si>
  <si>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</si>
  <si>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</si>
  <si>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</si>
  <si>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</si>
  <si>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</si>
  <si>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</si>
  <si>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</si>
  <si>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</si>
  <si>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</si>
  <si>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</si>
  <si>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</si>
  <si>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</si>
  <si>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</si>
  <si>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</si>
  <si>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</si>
  <si>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</si>
  <si>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</si>
  <si>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</si>
  <si>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</si>
  <si>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</si>
  <si>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</si>
  <si>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</si>
  <si>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</si>
  <si>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</si>
  <si>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</si>
  <si>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</si>
  <si>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</si>
  <si>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</si>
  <si>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</si>
  <si>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</si>
  <si>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</si>
  <si>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</si>
  <si>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</si>
  <si>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</si>
  <si>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</si>
  <si>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</si>
  <si>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</si>
  <si>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</si>
  <si>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</si>
  <si>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</si>
  <si>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</si>
  <si>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</si>
  <si>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</si>
  <si>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</si>
  <si>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</si>
  <si>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</si>
  <si>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</si>
  <si>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</si>
  <si>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</si>
  <si>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</si>
  <si>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</si>
  <si>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</si>
  <si>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</si>
  <si>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</si>
  <si>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</si>
  <si>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</si>
  <si>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</si>
  <si>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</si>
  <si>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</si>
  <si>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</si>
  <si>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</si>
  <si>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</si>
  <si>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</si>
  <si>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</si>
  <si>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</si>
  <si>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</si>
  <si>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</si>
  <si>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</si>
  <si>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</si>
  <si>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</si>
  <si>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</si>
  <si>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</si>
  <si>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</si>
  <si>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</si>
  <si>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</si>
  <si>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</si>
  <si>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</si>
  <si>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</si>
  <si>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</si>
  <si>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</si>
  <si>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</si>
  <si>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</si>
  <si>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</si>
  <si>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</si>
  <si>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</si>
  <si>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</si>
  <si>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</si>
  <si>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</si>
  <si>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</si>
  <si>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</si>
  <si>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</si>
  <si>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</si>
  <si>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</si>
  <si>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</si>
  <si>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</si>
  <si>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</si>
  <si>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</si>
  <si>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</si>
  <si>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</si>
  <si>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</si>
  <si>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</si>
  <si>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</si>
  <si>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</si>
  <si>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</si>
  <si>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</si>
  <si>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</si>
  <si>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</si>
  <si>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</si>
  <si>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</si>
  <si>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</si>
  <si>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</si>
  <si>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</si>
  <si>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</si>
  <si>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</si>
  <si>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</si>
  <si>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</si>
  <si>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</si>
  <si>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</si>
  <si>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</si>
  <si>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</si>
  <si>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</si>
  <si>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</si>
  <si>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</si>
  <si>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</si>
  <si>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</si>
  <si>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</si>
  <si>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</si>
  <si>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</si>
  <si>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</si>
  <si>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</si>
  <si>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</si>
  <si>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</si>
  <si>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</si>
  <si>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</si>
  <si>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</si>
  <si>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</si>
  <si>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</si>
  <si>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</si>
  <si>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</si>
  <si>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</si>
  <si>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</si>
  <si>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</si>
  <si>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</si>
  <si>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</si>
  <si>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</si>
  <si>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</si>
  <si>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</si>
  <si>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</si>
  <si>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</si>
  <si>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</si>
  <si>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</si>
  <si>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</si>
  <si>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</si>
  <si>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</si>
  <si>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</si>
  <si>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</si>
  <si>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</si>
  <si>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</si>
  <si>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</si>
  <si>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</si>
  <si>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</si>
  <si>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</si>
  <si>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</si>
  <si>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</si>
  <si>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</si>
  <si>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</si>
  <si>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</si>
  <si>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</si>
  <si>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</si>
  <si>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</si>
  <si>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</si>
  <si>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</si>
  <si>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</si>
  <si>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</si>
  <si>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</si>
  <si>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</si>
  <si>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</si>
  <si>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</si>
  <si>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</si>
  <si>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</si>
  <si>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</si>
  <si>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</si>
  <si>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</si>
  <si>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</si>
  <si>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</si>
  <si>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</si>
  <si>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</si>
  <si>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</si>
  <si>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</si>
  <si>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</si>
  <si>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</si>
  <si>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</si>
  <si>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</si>
  <si>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</si>
  <si>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</si>
  <si>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</si>
  <si>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</si>
  <si>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</si>
  <si>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</si>
  <si>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</si>
  <si>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</si>
  <si>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</si>
  <si>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</si>
  <si>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</si>
  <si>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</si>
  <si>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</si>
  <si>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</si>
  <si>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</si>
  <si>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</si>
  <si>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</si>
  <si>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</si>
  <si>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</si>
  <si>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</si>
  <si>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</si>
  <si>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</si>
  <si>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</si>
  <si>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</si>
  <si>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</si>
  <si>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</si>
  <si>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</si>
  <si>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</si>
  <si>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</si>
  <si>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</si>
  <si>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</si>
  <si>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</si>
  <si>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</si>
  <si>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</si>
  <si>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</si>
  <si>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</si>
  <si>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</si>
  <si>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</si>
  <si>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</si>
  <si>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</si>
  <si>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</si>
  <si>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</si>
  <si>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</si>
  <si>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</si>
  <si>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</si>
  <si>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</si>
  <si>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</si>
  <si>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</si>
  <si>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</si>
  <si>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</si>
  <si>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</si>
  <si>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</si>
  <si>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</si>
  <si>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</si>
  <si>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</si>
  <si>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</si>
  <si>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</si>
  <si>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</si>
  <si>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</si>
  <si>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</si>
  <si>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</si>
  <si>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</si>
  <si>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</si>
  <si>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</si>
  <si>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</si>
  <si>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</si>
  <si>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</si>
  <si>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</si>
  <si>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</si>
  <si>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</si>
  <si>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</si>
  <si>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</si>
  <si>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</si>
  <si>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</si>
  <si>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</si>
  <si>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</si>
  <si>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</si>
  <si>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</si>
  <si>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</si>
  <si>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</si>
  <si>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</si>
  <si>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</si>
  <si>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</si>
  <si>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</si>
  <si>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</si>
  <si>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</si>
  <si>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</si>
  <si>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</si>
  <si>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</si>
  <si>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</si>
  <si>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</si>
  <si>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</si>
  <si>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</si>
  <si>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</si>
  <si>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</si>
  <si>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</si>
  <si>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</si>
  <si>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</si>
  <si>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</si>
  <si>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</si>
  <si>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</si>
  <si>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</si>
  <si>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</si>
  <si>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</si>
  <si>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</si>
  <si>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</si>
  <si>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</si>
  <si>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</si>
  <si>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</si>
  <si>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</si>
  <si>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</si>
  <si>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</si>
  <si>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</si>
  <si>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</si>
  <si>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</si>
  <si>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</si>
  <si>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</si>
  <si>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</si>
  <si>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</si>
  <si>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</si>
  <si>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</si>
  <si>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</si>
  <si>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</si>
  <si>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</si>
  <si>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</si>
  <si>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</si>
  <si>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</si>
  <si>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</si>
  <si>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</si>
  <si>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</si>
  <si>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</si>
  <si>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</si>
  <si>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</si>
  <si>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</si>
  <si>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</si>
  <si>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</si>
  <si>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</si>
  <si>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</si>
  <si>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</si>
  <si>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</si>
  <si>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</si>
  <si>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</si>
  <si>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</si>
  <si>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</si>
  <si>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</si>
  <si>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</si>
  <si>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</si>
  <si>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</si>
  <si>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</si>
  <si>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</si>
  <si>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</si>
  <si>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</si>
  <si>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</si>
  <si>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</si>
  <si>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</si>
  <si>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</si>
  <si>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</si>
  <si>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</si>
  <si>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</si>
  <si>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</si>
  <si>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</si>
  <si>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</si>
  <si>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</si>
  <si>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</si>
  <si>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</si>
  <si>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</si>
  <si>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</si>
  <si>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</si>
  <si>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</si>
  <si>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</si>
  <si>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</si>
  <si>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</si>
  <si>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</si>
  <si>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</si>
  <si>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</si>
  <si>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</si>
  <si>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</si>
  <si>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</si>
  <si>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</si>
  <si>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</si>
  <si>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</si>
  <si>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</si>
  <si>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</si>
  <si>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</si>
  <si>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</si>
  <si>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</si>
  <si>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</si>
  <si>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</si>
  <si>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</si>
  <si>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</si>
  <si>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</si>
  <si>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</si>
  <si>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</si>
  <si>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</si>
  <si>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</si>
  <si>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</si>
  <si>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</si>
  <si>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</si>
  <si>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</si>
  <si>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</si>
  <si>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</si>
  <si>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</si>
  <si>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</si>
  <si>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</si>
  <si>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</si>
  <si>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</si>
  <si>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</si>
  <si>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</si>
  <si>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</si>
  <si>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</si>
  <si>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</si>
  <si>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</si>
  <si>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</si>
  <si>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</si>
  <si>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</si>
  <si>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</si>
  <si>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</si>
  <si>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</si>
  <si>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</si>
  <si>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</si>
  <si>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</si>
  <si>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</si>
  <si>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</si>
  <si>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</si>
  <si>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</si>
  <si>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</si>
  <si>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</si>
  <si>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</si>
  <si>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</si>
  <si>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</si>
  <si>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</si>
  <si>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</si>
  <si>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</si>
  <si>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</si>
  <si>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</si>
  <si>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</si>
  <si>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</si>
  <si>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</si>
  <si>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</si>
  <si>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</si>
  <si>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</si>
  <si>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</si>
  <si>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</si>
  <si>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</si>
  <si>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</si>
  <si>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</si>
  <si>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</si>
  <si>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</si>
  <si>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</si>
  <si>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</si>
  <si>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</si>
  <si>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</si>
  <si>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</si>
  <si>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</si>
  <si>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</si>
  <si>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</si>
  <si>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</si>
  <si>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</si>
  <si>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</si>
  <si>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</si>
  <si>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</si>
  <si>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</si>
  <si>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</si>
  <si>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</si>
  <si>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</si>
  <si>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</si>
  <si>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</si>
  <si>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</si>
  <si>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</si>
  <si>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</si>
  <si>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</si>
  <si>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</si>
  <si>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</si>
  <si>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</si>
  <si>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</si>
  <si>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</si>
  <si>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</si>
  <si>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</si>
  <si>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</si>
  <si>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</si>
  <si>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</si>
  <si>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</si>
  <si>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</si>
  <si>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</si>
  <si>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</si>
  <si>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</si>
  <si>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</si>
  <si>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</si>
  <si>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</si>
  <si>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</si>
  <si>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</si>
  <si>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</si>
  <si>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</si>
  <si>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</si>
  <si>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</si>
  <si>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</si>
  <si>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</si>
  <si>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</si>
  <si>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</si>
  <si>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</si>
  <si>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</si>
  <si>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</si>
  <si>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</si>
  <si>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</si>
  <si>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</si>
  <si>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</si>
  <si>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</si>
  <si>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</si>
  <si>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</si>
  <si>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</si>
  <si>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</si>
  <si>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</si>
  <si>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</si>
  <si>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</si>
  <si>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</si>
  <si>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</si>
  <si>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</si>
  <si>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</si>
  <si>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</si>
  <si>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</si>
  <si>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</si>
  <si>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</si>
  <si>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</si>
  <si>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</si>
  <si>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</si>
  <si>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</si>
  <si>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</si>
  <si>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</si>
  <si>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</si>
  <si>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</si>
  <si>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</si>
  <si>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</si>
  <si>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</si>
  <si>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</si>
  <si>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</si>
  <si>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</si>
  <si>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</si>
  <si>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</si>
  <si>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</si>
  <si>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</si>
  <si>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</si>
  <si>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</si>
  <si>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</si>
  <si>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</si>
  <si>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</si>
  <si>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</si>
  <si>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</si>
  <si>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</si>
  <si>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</si>
  <si>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</si>
  <si>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</si>
  <si>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</si>
  <si>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</si>
  <si>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</si>
  <si>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</si>
  <si>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</si>
  <si>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</si>
  <si>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</si>
  <si>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</si>
  <si>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</si>
  <si>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</si>
  <si>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</si>
  <si>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</si>
  <si>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</si>
  <si>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</si>
  <si>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</si>
  <si>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</si>
  <si>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</si>
  <si>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</si>
  <si>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</si>
  <si>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</si>
  <si>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</si>
  <si>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</si>
  <si>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</si>
  <si>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</si>
  <si>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</si>
  <si>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</si>
  <si>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</si>
  <si>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</si>
  <si>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</si>
  <si>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</si>
  <si>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</si>
  <si>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</si>
  <si>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</si>
  <si>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</si>
  <si>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</si>
  <si>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</si>
  <si>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</si>
  <si>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</si>
  <si>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</si>
  <si>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</si>
  <si>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</si>
  <si>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</si>
  <si>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</si>
  <si>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</si>
  <si>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</si>
  <si>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</si>
  <si>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</si>
  <si>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</si>
  <si>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</si>
  <si>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</si>
  <si>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</si>
  <si>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</si>
  <si>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</si>
  <si>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</si>
  <si>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</si>
  <si>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</si>
  <si>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</si>
  <si>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</si>
  <si>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</si>
  <si>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</si>
  <si>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</si>
  <si>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</si>
  <si>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</si>
  <si>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</si>
  <si>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</si>
  <si>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</si>
  <si>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</si>
  <si>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</si>
  <si>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</si>
  <si>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</si>
  <si>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</si>
  <si>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</si>
  <si>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</si>
  <si>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</si>
  <si>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</si>
  <si>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</si>
  <si>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</si>
  <si>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</si>
  <si>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</si>
  <si>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</si>
  <si>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</si>
  <si>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</si>
  <si>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</si>
  <si>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</si>
  <si>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</si>
  <si>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</si>
  <si>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</si>
  <si>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</si>
  <si>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</si>
  <si>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</si>
  <si>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</si>
  <si>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</si>
  <si>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</si>
  <si>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</si>
  <si>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</si>
  <si>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</si>
  <si>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</si>
  <si>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</si>
  <si>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</si>
  <si>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</si>
  <si>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</si>
  <si>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</si>
  <si>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</si>
  <si>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</si>
  <si>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</si>
  <si>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</si>
  <si>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</si>
  <si>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</si>
  <si>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</si>
  <si>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</si>
  <si>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</si>
  <si>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</si>
  <si>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</si>
  <si>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</si>
  <si>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</si>
  <si>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</si>
  <si>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</si>
  <si>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</si>
  <si>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</si>
  <si>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</si>
  <si>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</si>
  <si>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</si>
  <si>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</si>
  <si>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</si>
  <si>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</si>
  <si>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</si>
  <si>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</si>
  <si>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</si>
  <si>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</si>
  <si>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</si>
  <si>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</si>
  <si>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</si>
  <si>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</si>
  <si>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</si>
  <si>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</si>
  <si>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</si>
  <si>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</si>
  <si>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</si>
  <si>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</si>
  <si>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</si>
  <si>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</si>
  <si>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</si>
  <si>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</si>
  <si>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</si>
  <si>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</si>
  <si>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</si>
  <si>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</si>
  <si>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</si>
  <si>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</si>
  <si>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</si>
  <si>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</si>
  <si>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</si>
  <si>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</si>
  <si>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</si>
  <si>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</si>
  <si>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</si>
  <si>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</si>
  <si>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</si>
  <si>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</si>
  <si>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</si>
  <si>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</si>
  <si>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</si>
  <si>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</si>
  <si>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</si>
  <si>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</si>
  <si>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</si>
  <si>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</si>
  <si>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</si>
  <si>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</si>
  <si>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</si>
  <si>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</si>
  <si>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</si>
  <si>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</si>
  <si>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</si>
  <si>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</si>
  <si>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</si>
  <si>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</si>
  <si>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</si>
  <si>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</si>
  <si>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</si>
  <si>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</si>
  <si>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</si>
  <si>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</si>
  <si>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</si>
  <si>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</si>
  <si>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</si>
  <si>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</si>
  <si>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</si>
  <si>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</si>
  <si>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</si>
  <si>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</si>
  <si>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</si>
  <si>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</si>
  <si>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</si>
  <si>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</si>
  <si>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</si>
  <si>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</si>
  <si>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</si>
  <si>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</si>
  <si>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</si>
  <si>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</si>
  <si>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</si>
  <si>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</si>
  <si>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</si>
  <si>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</si>
  <si>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</si>
  <si>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</si>
  <si>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</si>
  <si>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</si>
  <si>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</si>
  <si>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</si>
  <si>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</si>
  <si>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</si>
  <si>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</si>
  <si>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</si>
  <si>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</si>
  <si>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</si>
  <si>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</si>
  <si>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</si>
  <si>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</si>
  <si>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</si>
  <si>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</si>
  <si>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</si>
  <si>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</si>
  <si>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</si>
  <si>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</si>
  <si>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</si>
  <si>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</si>
  <si>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</si>
  <si>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</si>
  <si>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</si>
  <si>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</si>
  <si>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</si>
  <si>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</si>
  <si>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</si>
  <si>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</si>
  <si>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</si>
  <si>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</si>
  <si>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</si>
  <si>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</si>
  <si>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</si>
  <si>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</si>
  <si>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</si>
  <si>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</si>
  <si>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</si>
  <si>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</si>
  <si>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</si>
  <si>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</si>
  <si>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</si>
  <si>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</si>
  <si>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</si>
  <si>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</si>
  <si>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</si>
  <si>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</si>
  <si>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</si>
  <si>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</si>
  <si>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</si>
  <si>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</si>
  <si>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</si>
  <si>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</si>
  <si>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</si>
  <si>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</si>
  <si>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</si>
  <si>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</si>
  <si>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</si>
  <si>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</si>
  <si>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</si>
  <si>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</si>
  <si>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</si>
  <si>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</si>
  <si>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</si>
  <si>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</si>
  <si>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</si>
  <si>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</si>
  <si>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</si>
  <si>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</si>
  <si>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</si>
  <si>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</si>
  <si>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</si>
  <si>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</si>
  <si>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</si>
  <si>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</si>
  <si>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</si>
  <si>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</si>
  <si>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</si>
  <si>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</si>
  <si>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</si>
  <si>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</si>
  <si>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</si>
  <si>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</si>
  <si>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</si>
  <si>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</si>
  <si>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</si>
  <si>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</si>
  <si>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</si>
  <si>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</si>
  <si>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</si>
  <si>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</si>
  <si>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</si>
  <si>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</si>
  <si>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</si>
  <si>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</si>
  <si>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</si>
  <si>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</si>
  <si>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</si>
  <si>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</si>
  <si>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</si>
  <si>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</si>
  <si>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</si>
  <si>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</si>
  <si>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</si>
  <si>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</si>
  <si>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</si>
  <si>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</si>
  <si>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</si>
  <si>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</si>
  <si>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</si>
  <si>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</si>
  <si>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</si>
  <si>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</si>
  <si>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</si>
  <si>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</si>
  <si>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</si>
  <si>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</si>
  <si>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</si>
  <si>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</si>
  <si>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</si>
  <si>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</si>
  <si>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</si>
  <si>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</si>
  <si>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</si>
  <si>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</si>
  <si>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</si>
  <si>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</si>
  <si>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</si>
  <si>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</si>
  <si>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</si>
  <si>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</si>
  <si>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</si>
  <si>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</si>
  <si>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</si>
  <si>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</si>
  <si>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</si>
  <si>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</si>
  <si>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</si>
  <si>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</si>
  <si>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</si>
  <si>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</si>
  <si>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</si>
  <si>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</si>
  <si>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</si>
  <si>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</si>
  <si>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</si>
  <si>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</si>
  <si>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</si>
  <si>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</si>
  <si>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</si>
  <si>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</si>
  <si>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</si>
  <si>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</si>
  <si>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</si>
  <si>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</si>
  <si>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</si>
  <si>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</si>
  <si>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</si>
  <si>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</si>
  <si>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</si>
  <si>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</si>
  <si>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</si>
  <si>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</si>
  <si>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</si>
  <si>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</si>
  <si>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</si>
  <si>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</si>
  <si>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</si>
  <si>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</si>
  <si>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</si>
  <si>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</si>
  <si>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</si>
  <si>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</si>
  <si>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</si>
  <si>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</si>
  <si>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</si>
  <si>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</si>
  <si>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</si>
  <si>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</si>
  <si>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</si>
  <si>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</si>
  <si>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</si>
  <si>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</si>
  <si>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</si>
  <si>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</si>
  <si>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</si>
  <si>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</si>
  <si>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</si>
  <si>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</si>
  <si>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</si>
  <si>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</si>
  <si>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</si>
  <si>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</si>
  <si>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</si>
  <si>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</si>
  <si>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</si>
  <si>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</si>
  <si>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</si>
  <si>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</si>
  <si>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</si>
  <si>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</si>
  <si>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</si>
  <si>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</si>
  <si>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</si>
  <si>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</si>
  <si>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</si>
  <si>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</si>
  <si>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</si>
  <si>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</si>
  <si>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</si>
  <si>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</si>
  <si>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</si>
  <si>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</si>
  <si>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</si>
  <si>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</si>
  <si>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</si>
  <si>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</si>
  <si>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</si>
  <si>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</si>
  <si>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</si>
  <si>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</si>
  <si>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</si>
  <si>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</si>
  <si>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</si>
  <si>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</si>
  <si>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</si>
  <si>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</si>
  <si>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</si>
  <si>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</si>
  <si>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</si>
  <si>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</si>
  <si>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</si>
  <si>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</si>
  <si>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</si>
  <si>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</si>
  <si>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</si>
  <si>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</si>
  <si>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</si>
  <si>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</si>
  <si>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</si>
  <si>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</si>
  <si>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</si>
  <si>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</si>
  <si>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</si>
  <si>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</si>
  <si>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</si>
  <si>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</si>
  <si>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</si>
  <si>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</si>
  <si>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</si>
  <si>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</si>
  <si>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</si>
  <si>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</si>
  <si>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</si>
  <si>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</si>
  <si>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</si>
  <si>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</si>
  <si>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</si>
  <si>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</si>
  <si>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</si>
  <si>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</si>
  <si>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</si>
  <si>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</si>
  <si>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</si>
  <si>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</si>
  <si>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</si>
  <si>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</si>
  <si>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</si>
  <si>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</si>
  <si>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</si>
  <si>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</si>
  <si>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</si>
  <si>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</si>
  <si>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</si>
  <si>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</si>
  <si>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</si>
  <si>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</si>
  <si>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</si>
  <si>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</si>
  <si>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</si>
  <si>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</si>
  <si>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</si>
  <si>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</si>
  <si>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</si>
  <si>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</si>
  <si>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</si>
  <si>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</si>
  <si>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</si>
  <si>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</si>
  <si>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</si>
  <si>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</si>
  <si>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</si>
  <si>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</si>
  <si>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</si>
  <si>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</si>
  <si>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</si>
  <si>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</si>
  <si>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</si>
  <si>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</si>
  <si>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</si>
  <si>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</si>
  <si>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</si>
  <si>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</si>
  <si>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</si>
  <si>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</si>
  <si>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</si>
  <si>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</si>
  <si>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</si>
  <si>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</si>
  <si>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</si>
  <si>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</si>
  <si>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</si>
  <si>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</si>
  <si>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</si>
  <si>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</si>
  <si>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</si>
  <si>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</si>
  <si>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</si>
  <si>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</si>
  <si>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</si>
  <si>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</si>
  <si>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</si>
  <si>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</si>
  <si>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</si>
  <si>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</si>
  <si>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</si>
  <si>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</si>
  <si>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</si>
  <si>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</si>
  <si>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</si>
  <si>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</si>
  <si>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</si>
  <si>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</si>
  <si>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</si>
  <si>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</si>
  <si>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</si>
  <si>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</si>
  <si>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</si>
  <si>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</si>
  <si>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</si>
  <si>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</si>
  <si>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</si>
  <si>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</si>
  <si>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</si>
  <si>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</si>
  <si>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</si>
  <si>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</si>
  <si>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</si>
  <si>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</si>
  <si>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</si>
  <si>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</si>
  <si>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</si>
  <si>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</si>
  <si>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</si>
  <si>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</si>
  <si>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</si>
  <si>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</si>
  <si>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</si>
  <si>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</si>
  <si>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</si>
  <si>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</si>
  <si>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</si>
  <si>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</si>
  <si>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</si>
  <si>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</si>
  <si>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</si>
  <si>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</si>
  <si>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</si>
  <si>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</si>
  <si>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</si>
  <si>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</si>
  <si>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</si>
  <si>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</si>
  <si>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</si>
  <si>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</si>
  <si>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</si>
  <si>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</si>
  <si>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</si>
  <si>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</si>
  <si>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</si>
  <si>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</si>
  <si>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</si>
  <si>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</si>
  <si>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</si>
  <si>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</si>
  <si>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</si>
  <si>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</si>
  <si>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</si>
  <si>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</si>
  <si>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</si>
  <si>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</si>
  <si>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</si>
  <si>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</si>
  <si>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</si>
  <si>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</si>
  <si>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</si>
  <si>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</si>
  <si>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</si>
  <si>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</si>
  <si>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</si>
  <si>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</si>
  <si>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</si>
  <si>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</si>
  <si>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</si>
  <si>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</si>
  <si>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</si>
  <si>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</si>
  <si>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</si>
  <si>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</si>
  <si>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</si>
  <si>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</si>
  <si>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</si>
  <si>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</si>
  <si>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</si>
  <si>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</si>
  <si>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</si>
  <si>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</si>
  <si>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</si>
  <si>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</si>
  <si>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</si>
  <si>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</si>
  <si>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</si>
  <si>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</si>
  <si>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</si>
  <si>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</si>
  <si>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</si>
  <si>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</si>
  <si>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</si>
  <si>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</si>
  <si>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</si>
  <si>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</si>
  <si>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</si>
  <si>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</si>
  <si>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</si>
  <si>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</si>
  <si>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</si>
  <si>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</si>
  <si>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</si>
  <si>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</si>
  <si>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</si>
  <si>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</si>
  <si>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</si>
  <si>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</si>
  <si>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</si>
  <si>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</si>
  <si>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</si>
  <si>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</si>
  <si>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</si>
  <si>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</si>
  <si>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</si>
  <si>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</si>
  <si>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</si>
  <si>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</si>
  <si>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</si>
  <si>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</si>
  <si>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</si>
  <si>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</si>
  <si>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</si>
  <si>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</si>
  <si>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</si>
  <si>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</si>
  <si>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</si>
  <si>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</si>
  <si>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</si>
  <si>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</si>
  <si>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</si>
  <si>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</si>
  <si>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</si>
  <si>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</si>
  <si>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</si>
  <si>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</si>
  <si>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</si>
  <si>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</si>
  <si>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</si>
  <si>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</si>
  <si>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</si>
  <si>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</si>
  <si>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</si>
  <si>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</si>
  <si>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</si>
  <si>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</si>
  <si>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</si>
  <si>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</si>
  <si>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</si>
  <si>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</si>
  <si>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</si>
  <si>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</si>
  <si>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</si>
  <si>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</si>
  <si>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</si>
  <si>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</si>
  <si>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</si>
  <si>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</si>
  <si>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</si>
  <si>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</si>
  <si>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</si>
  <si>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</si>
  <si>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</si>
  <si>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</si>
  <si>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</si>
  <si>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</si>
  <si>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</si>
  <si>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</si>
  <si>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</si>
  <si>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</si>
  <si>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</si>
  <si>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</si>
  <si>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</si>
  <si>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</si>
  <si>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</si>
  <si>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</si>
  <si>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</si>
  <si>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</si>
  <si>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</si>
  <si>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</si>
  <si>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</si>
  <si>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</si>
  <si>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</si>
  <si>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</si>
  <si>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</si>
  <si>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</si>
  <si>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</si>
  <si>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</si>
  <si>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</si>
  <si>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</si>
  <si>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</si>
  <si>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</si>
  <si>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</si>
  <si>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</si>
  <si>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</si>
  <si>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</si>
  <si>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</si>
  <si>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</si>
  <si>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</si>
  <si>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</si>
  <si>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</si>
  <si>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</si>
  <si>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</si>
  <si>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</si>
  <si>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</si>
  <si>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</si>
  <si>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</si>
  <si>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</si>
  <si>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</si>
  <si>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</si>
  <si>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</si>
  <si>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</si>
  <si>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</si>
  <si>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</si>
  <si>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</si>
  <si>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</si>
  <si>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</si>
  <si>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</si>
  <si>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</si>
  <si>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</si>
  <si>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</si>
  <si>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</si>
  <si>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</si>
  <si>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</si>
  <si>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</si>
  <si>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</si>
  <si>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</si>
  <si>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</si>
  <si>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</si>
  <si>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</si>
  <si>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</si>
  <si>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</si>
  <si>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</si>
  <si>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</si>
  <si>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</si>
  <si>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</si>
  <si>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</si>
  <si>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</si>
  <si>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</si>
  <si>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</si>
  <si>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</si>
  <si>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</si>
  <si>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</si>
  <si>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</si>
  <si>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</si>
  <si>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</si>
  <si>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</si>
  <si>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</si>
  <si>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</si>
  <si>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</si>
  <si>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</si>
  <si>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</si>
  <si>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</si>
  <si>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</si>
  <si>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</si>
  <si>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</si>
  <si>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</si>
  <si>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</si>
  <si>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</si>
  <si>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</si>
  <si>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</si>
  <si>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</si>
  <si>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</si>
  <si>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</si>
  <si>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</si>
  <si>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</si>
  <si>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</si>
  <si>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</si>
  <si>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</si>
  <si>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</si>
  <si>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</si>
  <si>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</si>
  <si>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</si>
  <si>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</si>
  <si>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</si>
  <si>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</si>
  <si>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</si>
  <si>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</si>
  <si>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</si>
  <si>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</si>
  <si>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</si>
  <si>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</si>
  <si>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</si>
  <si>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</si>
  <si>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</si>
  <si>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</si>
  <si>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</si>
  <si>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</si>
  <si>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</si>
  <si>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</si>
  <si>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</si>
  <si>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</si>
  <si>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</si>
  <si>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</si>
  <si>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</si>
  <si>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</si>
  <si>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</si>
  <si>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</si>
  <si>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</si>
  <si>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</si>
  <si>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</si>
  <si>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</si>
  <si>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</si>
  <si>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</si>
  <si>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</si>
  <si>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</si>
  <si>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</si>
  <si>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</si>
  <si>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</si>
  <si>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</si>
  <si>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</si>
  <si>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</si>
  <si>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</si>
  <si>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</si>
  <si>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</si>
  <si>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</si>
  <si>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</si>
  <si>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</si>
  <si>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</si>
  <si>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</si>
  <si>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</si>
  <si>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</si>
  <si>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</si>
  <si>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</si>
  <si>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</si>
  <si>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</si>
  <si>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</si>
  <si>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</si>
  <si>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</si>
  <si>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</si>
  <si>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</si>
  <si>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</si>
  <si>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</si>
  <si>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</si>
  <si>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</si>
  <si>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</si>
  <si>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</si>
  <si>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</si>
  <si>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</si>
  <si>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</si>
  <si>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</si>
  <si>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</si>
  <si>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</si>
  <si>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</si>
  <si>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</si>
  <si>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</si>
  <si>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</si>
  <si>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</si>
  <si>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</si>
  <si>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</si>
  <si>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</si>
  <si>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</si>
  <si>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</si>
  <si>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</si>
  <si>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</si>
  <si>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</si>
  <si>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</si>
  <si>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</si>
  <si>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</si>
  <si>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</si>
  <si>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</si>
  <si>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</si>
  <si>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</si>
  <si>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</si>
  <si>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</si>
  <si>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</si>
  <si>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</si>
  <si>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</si>
  <si>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</si>
  <si>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</si>
  <si>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</si>
  <si>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</si>
  <si>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</si>
  <si>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</si>
  <si>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</si>
  <si>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</si>
  <si>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</si>
  <si>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</si>
  <si>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</si>
  <si>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</si>
  <si>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</si>
  <si>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</si>
  <si>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</si>
  <si>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</si>
  <si>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</si>
  <si>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</si>
  <si>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</si>
  <si>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</si>
  <si>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</si>
  <si>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</si>
  <si>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</si>
  <si>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</si>
  <si>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</si>
  <si>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</si>
  <si>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</si>
  <si>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</si>
  <si>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</si>
  <si>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</si>
  <si>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</si>
  <si>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</si>
  <si>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</si>
  <si>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</si>
  <si>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</si>
  <si>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</si>
  <si>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</si>
  <si>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</si>
  <si>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</si>
  <si>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</si>
  <si>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</si>
  <si>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</si>
  <si>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</si>
  <si>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</si>
  <si>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</si>
  <si>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</si>
  <si>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</si>
  <si>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</si>
  <si>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</si>
  <si>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</si>
  <si>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</si>
  <si>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</si>
  <si>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</si>
  <si>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</si>
  <si>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</si>
  <si>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</si>
  <si>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</si>
  <si>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</si>
  <si>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</si>
  <si>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</si>
  <si>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</si>
  <si>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</si>
  <si>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</si>
  <si>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</si>
  <si>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</si>
  <si>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</si>
  <si>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</si>
  <si>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</si>
  <si>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</si>
  <si>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</si>
  <si>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</si>
  <si>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</si>
  <si>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</si>
  <si>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</si>
  <si>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</si>
  <si>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</si>
  <si>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</si>
  <si>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</si>
  <si>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</si>
  <si>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</si>
  <si>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</si>
  <si>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</si>
  <si>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</si>
  <si>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</si>
  <si>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</si>
  <si>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</si>
  <si>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</si>
  <si>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</si>
  <si>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</si>
  <si>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</si>
  <si>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</si>
  <si>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</si>
  <si>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</si>
  <si>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</si>
  <si>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</si>
  <si>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</si>
  <si>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</si>
  <si>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</si>
  <si>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</si>
  <si>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</si>
  <si>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</si>
  <si>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</si>
  <si>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</si>
  <si>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</si>
  <si>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</si>
  <si>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</si>
  <si>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</si>
  <si>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</si>
  <si>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</si>
  <si>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</si>
  <si>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</si>
  <si>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</si>
  <si>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</si>
  <si>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</si>
  <si>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</si>
  <si>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</si>
  <si>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</si>
  <si>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</si>
  <si>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</si>
  <si>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</si>
  <si>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</si>
  <si>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</si>
  <si>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</si>
  <si>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</si>
  <si>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</si>
  <si>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</si>
  <si>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</si>
  <si>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</si>
  <si>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</si>
  <si>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</si>
  <si>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</si>
  <si>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</si>
  <si>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</si>
  <si>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</si>
  <si>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</si>
  <si>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</si>
  <si>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</si>
  <si>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</si>
  <si>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</si>
  <si>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</si>
  <si>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</si>
  <si>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</si>
  <si>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</si>
  <si>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</si>
  <si>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</si>
  <si>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</si>
  <si>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</si>
  <si>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</si>
  <si>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</si>
  <si>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</si>
  <si>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</si>
  <si>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</si>
  <si>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</si>
  <si>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</si>
  <si>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</si>
  <si>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</si>
  <si>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</si>
  <si>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</si>
  <si>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</si>
  <si>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</si>
  <si>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</si>
  <si>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</si>
  <si>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</si>
  <si>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</si>
  <si>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</si>
  <si>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</si>
  <si>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</si>
  <si>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</si>
  <si>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</si>
  <si>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</si>
  <si>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</si>
  <si>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</si>
  <si>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</si>
  <si>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</si>
  <si>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</si>
  <si>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</si>
  <si>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</si>
  <si>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</si>
  <si>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</si>
  <si>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</si>
  <si>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</si>
  <si>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</si>
  <si>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</si>
  <si>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</si>
  <si>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</si>
  <si>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</si>
  <si>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</si>
  <si>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</si>
  <si>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</si>
  <si>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</si>
  <si>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</si>
  <si>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</si>
  <si>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</si>
  <si>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</si>
  <si>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</si>
  <si>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</si>
  <si>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</si>
  <si>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</si>
  <si>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</si>
  <si>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</si>
  <si>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</si>
  <si>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</si>
  <si>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</si>
  <si>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</si>
  <si>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</si>
  <si>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</si>
  <si>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</si>
  <si>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</si>
  <si>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</si>
  <si>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</si>
  <si>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</si>
  <si>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</si>
  <si>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</si>
  <si>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</si>
  <si>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</si>
  <si>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</si>
  <si>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</si>
  <si>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</si>
  <si>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</si>
  <si>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</si>
  <si>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</si>
  <si>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</si>
  <si>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</si>
  <si>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</si>
  <si>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</si>
  <si>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</si>
  <si>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</si>
  <si>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</si>
  <si>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</si>
  <si>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</si>
  <si>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</si>
  <si>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</si>
  <si>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</si>
  <si>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</si>
  <si>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</si>
  <si>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</si>
  <si>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</si>
  <si>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</si>
  <si>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</si>
  <si>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</si>
  <si>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</si>
  <si>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</si>
  <si>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</si>
  <si>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</si>
  <si>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</si>
  <si>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</si>
  <si>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</si>
  <si>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</si>
  <si>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</si>
  <si>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</si>
  <si>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</si>
  <si>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</si>
  <si>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</si>
  <si>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</si>
  <si>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</si>
  <si>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</si>
  <si>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</si>
  <si>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</si>
  <si>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</si>
  <si>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</si>
  <si>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</si>
  <si>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</si>
  <si>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</si>
  <si>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</si>
  <si>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</si>
  <si>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</si>
  <si>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</si>
  <si>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</si>
  <si>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</si>
  <si>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</si>
  <si>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</si>
  <si>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</si>
  <si>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</si>
  <si>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</si>
  <si>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</si>
  <si>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</si>
  <si>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</si>
  <si>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</si>
  <si>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</si>
  <si>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</si>
  <si>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</si>
  <si>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</si>
  <si>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</si>
  <si>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</si>
  <si>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</si>
  <si>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</si>
  <si>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</si>
  <si>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</si>
  <si>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</si>
  <si>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</si>
  <si>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</si>
  <si>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</si>
  <si>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</si>
  <si>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</si>
  <si>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</si>
  <si>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</si>
  <si>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</si>
  <si>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</si>
  <si>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</si>
  <si>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</si>
  <si>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</si>
  <si>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</si>
  <si>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</si>
  <si>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</si>
  <si>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</si>
  <si>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</si>
  <si>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</si>
  <si>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</si>
  <si>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</si>
  <si>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</si>
  <si>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</si>
  <si>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</si>
  <si>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</si>
  <si>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</si>
  <si>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</si>
  <si>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</si>
  <si>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</si>
  <si>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</si>
  <si>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</si>
  <si>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</si>
  <si>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</si>
  <si>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</si>
  <si>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</si>
  <si>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</si>
  <si>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</si>
  <si>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</si>
  <si>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</si>
  <si>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</si>
  <si>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</si>
  <si>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</si>
  <si>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</si>
  <si>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</si>
  <si>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</si>
  <si>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</si>
  <si>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</si>
  <si>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</si>
  <si>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</si>
  <si>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</si>
  <si>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</si>
  <si>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</si>
  <si>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</si>
  <si>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</si>
  <si>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</si>
  <si>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</si>
  <si>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</si>
  <si>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</si>
  <si>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</si>
  <si>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</si>
  <si>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</si>
  <si>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</si>
  <si>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</si>
  <si>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</si>
  <si>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</si>
  <si>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</si>
  <si>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</si>
  <si>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</si>
  <si>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</si>
  <si>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</si>
  <si>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</si>
  <si>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</si>
  <si>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</si>
  <si>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</si>
  <si>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</si>
  <si>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</si>
  <si>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</si>
  <si>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</si>
  <si>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</si>
  <si>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</si>
  <si>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</si>
  <si>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</si>
  <si>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</si>
  <si>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</si>
  <si>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</si>
  <si>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</si>
  <si>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</si>
  <si>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</si>
  <si>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</si>
  <si>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</si>
  <si>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</si>
  <si>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</si>
  <si>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</si>
  <si>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</si>
  <si>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</si>
  <si>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</si>
  <si>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</si>
  <si>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</si>
  <si>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</si>
  <si>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</si>
  <si>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</si>
  <si>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Uyemura International Corporation</t>
  </si>
  <si>
    <t>DUNNS</t>
  </si>
  <si>
    <t>240 Town Line Road Southington, CT 06489</t>
  </si>
  <si>
    <t>David Liston</t>
  </si>
  <si>
    <t>dliston@uyemura.com</t>
  </si>
  <si>
    <t>860-793-4011</t>
  </si>
  <si>
    <t>Donald Gudeczauskas</t>
  </si>
  <si>
    <t>Vice President/Technical Director</t>
  </si>
  <si>
    <t>dgudeczauskas@uyemura.com</t>
  </si>
  <si>
    <t xml:space="preserve">One Smelter declares that it does business with very limited industrial mines situated in CAHRA's. All of this smelter's customers operating in these areas are part of international listed companies with a very strong commitment to compliance. All those companies meet all requirements of this smelter's due diligence &amp; compliance process in line with LBMA, RJC &amp; OECD guidelines. The smelter's business in CAHRA's does not -in any way- finance armed groups, forced labour and other human rights abuses, or support corruption &amp; money laundering. </t>
  </si>
  <si>
    <t>Auruna 6700 Gold salts is solely manufactured from recycled and scrap sources.</t>
  </si>
  <si>
    <t>100%</t>
  </si>
  <si>
    <t>https://www.uyemura.com/CM-policy.html</t>
  </si>
  <si>
    <t>cid001157</t>
  </si>
  <si>
    <t>255 Jonh L. Dietsch Boulevard</t>
  </si>
  <si>
    <t>Samantha McCourt</t>
  </si>
  <si>
    <t>Mining, recycled and scrap sources</t>
  </si>
  <si>
    <t>Samantha.McCourt@metalor.com</t>
  </si>
  <si>
    <t>400080</t>
  </si>
  <si>
    <t>Auruna 6700 Gold salts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</si>
</sst>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uyemura.com/CM-policy.html"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7"/>
      <c r="B2" s="4" t="s">
        <v>807</v>
      </c>
      <c r="C2" s="2"/>
      <c r="D2" s="159"/>
      <c r="E2" s="2"/>
      <c r="F2" s="2"/>
      <c r="G2" s="24"/>
    </row>
    <row r="3" spans="1:7">
      <c r="A3" s="367"/>
      <c r="B3" s="2" t="s">
        <v>800</v>
      </c>
      <c r="C3" s="4"/>
      <c r="D3" s="160"/>
      <c r="E3" s="2"/>
      <c r="F3" s="4"/>
      <c r="G3" s="24"/>
    </row>
    <row r="4" spans="1:7" ht="15.75">
      <c r="A4" s="367"/>
      <c r="B4" s="27" t="s">
        <v>809</v>
      </c>
      <c r="C4" s="5"/>
      <c r="D4" s="161"/>
      <c r="E4" s="2"/>
      <c r="F4" s="5"/>
      <c r="G4" s="24"/>
    </row>
    <row r="5" spans="1:7">
      <c r="A5" s="367"/>
      <c r="B5" s="26" t="s">
        <v>998</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810</v>
      </c>
      <c r="C9" s="370"/>
      <c r="D9" s="370"/>
      <c r="E9" s="370"/>
      <c r="F9" s="370"/>
      <c r="G9" s="24"/>
    </row>
    <row r="10" spans="1:7" ht="27" customHeight="1">
      <c r="A10" s="367"/>
      <c r="B10" s="371" t="s">
        <v>423</v>
      </c>
      <c r="C10" s="371"/>
      <c r="D10" s="371"/>
      <c r="E10" s="371"/>
      <c r="F10" s="371"/>
      <c r="G10" s="24"/>
    </row>
    <row r="11" spans="1:7" ht="27" customHeight="1">
      <c r="A11" s="367"/>
      <c r="B11" s="372"/>
      <c r="C11" s="372"/>
      <c r="D11" s="372"/>
      <c r="E11" s="372"/>
      <c r="F11" s="372"/>
      <c r="G11" s="24"/>
    </row>
    <row r="12" spans="1:7">
      <c r="A12" s="367"/>
      <c r="B12" s="28" t="s">
        <v>808</v>
      </c>
      <c r="C12" s="29" t="s">
        <v>811</v>
      </c>
      <c r="D12" s="163" t="s">
        <v>812</v>
      </c>
      <c r="E12" s="29" t="s">
        <v>593</v>
      </c>
      <c r="F12" s="29" t="s">
        <v>594</v>
      </c>
      <c r="G12" s="24"/>
    </row>
    <row r="13" spans="1:7" ht="33.75">
      <c r="A13" s="367"/>
      <c r="B13" s="275">
        <v>1</v>
      </c>
      <c r="C13" s="276" t="s">
        <v>1046</v>
      </c>
      <c r="D13" s="277" t="s">
        <v>836</v>
      </c>
      <c r="E13" s="278" t="s">
        <v>813</v>
      </c>
      <c r="F13" s="278"/>
      <c r="G13" s="24"/>
    </row>
    <row r="14" spans="1:7" ht="56.25">
      <c r="A14" s="367"/>
      <c r="B14" s="275">
        <v>2</v>
      </c>
      <c r="C14" s="276" t="s">
        <v>1046</v>
      </c>
      <c r="D14" s="277" t="s">
        <v>983</v>
      </c>
      <c r="E14" s="278" t="s">
        <v>513</v>
      </c>
      <c r="F14" s="278" t="s">
        <v>514</v>
      </c>
      <c r="G14" s="24"/>
    </row>
    <row r="15" spans="1:7" ht="89.1" customHeight="1">
      <c r="A15" s="367"/>
      <c r="B15" s="373">
        <v>2.0099999999999998</v>
      </c>
      <c r="C15" s="364" t="s">
        <v>1046</v>
      </c>
      <c r="D15" s="376" t="s">
        <v>2150</v>
      </c>
      <c r="E15" s="279" t="s">
        <v>595</v>
      </c>
      <c r="F15" s="279" t="s">
        <v>598</v>
      </c>
      <c r="G15" s="24"/>
    </row>
    <row r="16" spans="1:7" ht="99" customHeight="1">
      <c r="A16" s="367"/>
      <c r="B16" s="374"/>
      <c r="C16" s="365"/>
      <c r="D16" s="377"/>
      <c r="E16" s="280"/>
      <c r="F16" s="280" t="s">
        <v>596</v>
      </c>
      <c r="G16" s="24"/>
    </row>
    <row r="17" spans="1:7" ht="63" customHeight="1">
      <c r="A17" s="367"/>
      <c r="B17" s="375"/>
      <c r="C17" s="366"/>
      <c r="D17" s="378"/>
      <c r="E17" s="276"/>
      <c r="F17" s="276" t="s">
        <v>597</v>
      </c>
      <c r="G17" s="24"/>
    </row>
    <row r="18" spans="1:7" ht="117" customHeight="1">
      <c r="A18" s="367"/>
      <c r="B18" s="373">
        <v>2.02</v>
      </c>
      <c r="C18" s="364" t="s">
        <v>1046</v>
      </c>
      <c r="D18" s="376" t="s">
        <v>2151</v>
      </c>
      <c r="E18" s="279" t="s">
        <v>424</v>
      </c>
      <c r="F18" s="279" t="s">
        <v>508</v>
      </c>
      <c r="G18" s="24"/>
    </row>
    <row r="19" spans="1:7" ht="71.099999999999994" customHeight="1">
      <c r="A19" s="367"/>
      <c r="B19" s="374"/>
      <c r="C19" s="365"/>
      <c r="D19" s="377"/>
      <c r="E19" s="280" t="s">
        <v>512</v>
      </c>
      <c r="F19" s="280" t="s">
        <v>425</v>
      </c>
      <c r="G19" s="24"/>
    </row>
    <row r="20" spans="1:7" ht="90.75" customHeight="1">
      <c r="A20" s="367"/>
      <c r="B20" s="374"/>
      <c r="C20" s="365"/>
      <c r="D20" s="377"/>
      <c r="E20" s="280"/>
      <c r="F20" s="280" t="s">
        <v>600</v>
      </c>
      <c r="G20" s="24"/>
    </row>
    <row r="21" spans="1:7" ht="74.25" customHeight="1">
      <c r="A21" s="367"/>
      <c r="B21" s="375"/>
      <c r="C21" s="366"/>
      <c r="D21" s="378"/>
      <c r="E21" s="276"/>
      <c r="F21" s="276" t="s">
        <v>599</v>
      </c>
      <c r="G21" s="24"/>
    </row>
    <row r="22" spans="1:7" ht="90" customHeight="1">
      <c r="A22" s="367"/>
      <c r="B22" s="358">
        <v>2.0299999999999998</v>
      </c>
      <c r="C22" s="358" t="s">
        <v>783</v>
      </c>
      <c r="D22" s="361" t="s">
        <v>2152</v>
      </c>
      <c r="E22" s="364" t="s">
        <v>422</v>
      </c>
      <c r="F22" s="279" t="s">
        <v>445</v>
      </c>
      <c r="G22" s="24"/>
    </row>
    <row r="23" spans="1:7" ht="109.5" customHeight="1">
      <c r="A23" s="367"/>
      <c r="B23" s="359"/>
      <c r="C23" s="359"/>
      <c r="D23" s="362"/>
      <c r="E23" s="365"/>
      <c r="F23" s="280" t="s">
        <v>784</v>
      </c>
      <c r="G23" s="24"/>
    </row>
    <row r="24" spans="1:7" ht="74.25" customHeight="1">
      <c r="A24" s="367"/>
      <c r="B24" s="360"/>
      <c r="C24" s="360"/>
      <c r="D24" s="363"/>
      <c r="E24" s="366"/>
      <c r="F24" s="276" t="s">
        <v>421</v>
      </c>
      <c r="G24" s="24"/>
    </row>
    <row r="25" spans="1:7" ht="72" customHeight="1">
      <c r="A25" s="367"/>
      <c r="B25" s="275" t="s">
        <v>443</v>
      </c>
      <c r="C25" s="276" t="s">
        <v>444</v>
      </c>
      <c r="D25" s="277" t="s">
        <v>2153</v>
      </c>
      <c r="E25" s="276" t="s">
        <v>2148</v>
      </c>
      <c r="F25" s="276" t="s">
        <v>446</v>
      </c>
      <c r="G25" s="24"/>
    </row>
    <row r="26" spans="1:7" ht="98.1" customHeight="1">
      <c r="A26" s="367"/>
      <c r="B26" s="379">
        <v>3</v>
      </c>
      <c r="C26" s="373" t="s">
        <v>66</v>
      </c>
      <c r="D26" s="376" t="s">
        <v>2154</v>
      </c>
      <c r="E26" s="364" t="s">
        <v>0</v>
      </c>
      <c r="F26" s="279" t="s">
        <v>60</v>
      </c>
      <c r="G26" s="24"/>
    </row>
    <row r="27" spans="1:7" ht="90" customHeight="1">
      <c r="A27" s="367"/>
      <c r="B27" s="380"/>
      <c r="C27" s="374"/>
      <c r="D27" s="377"/>
      <c r="E27" s="365"/>
      <c r="F27" s="280" t="s">
        <v>55</v>
      </c>
      <c r="G27" s="24"/>
    </row>
    <row r="28" spans="1:7" ht="19.350000000000001" customHeight="1">
      <c r="A28" s="367"/>
      <c r="B28" s="380"/>
      <c r="C28" s="374"/>
      <c r="D28" s="377"/>
      <c r="E28" s="365"/>
      <c r="F28" s="280" t="s">
        <v>56</v>
      </c>
      <c r="G28" s="24"/>
    </row>
    <row r="29" spans="1:7" ht="74.45" customHeight="1">
      <c r="A29" s="367"/>
      <c r="B29" s="380"/>
      <c r="C29" s="374"/>
      <c r="D29" s="377"/>
      <c r="E29" s="365"/>
      <c r="F29" s="280" t="s">
        <v>57</v>
      </c>
      <c r="G29" s="24"/>
    </row>
    <row r="30" spans="1:7" ht="62.45" customHeight="1">
      <c r="A30" s="367"/>
      <c r="B30" s="380"/>
      <c r="C30" s="374"/>
      <c r="D30" s="377"/>
      <c r="E30" s="365"/>
      <c r="F30" s="280" t="s">
        <v>58</v>
      </c>
      <c r="G30" s="24"/>
    </row>
    <row r="31" spans="1:7" ht="81" customHeight="1">
      <c r="A31" s="367"/>
      <c r="B31" s="380"/>
      <c r="C31" s="374"/>
      <c r="D31" s="377"/>
      <c r="E31" s="365"/>
      <c r="F31" s="280" t="s">
        <v>59</v>
      </c>
      <c r="G31" s="24"/>
    </row>
    <row r="32" spans="1:7" ht="48.75" customHeight="1">
      <c r="A32" s="367"/>
      <c r="B32" s="380"/>
      <c r="C32" s="374"/>
      <c r="D32" s="377"/>
      <c r="E32" s="365"/>
      <c r="F32" s="280" t="s">
        <v>62</v>
      </c>
      <c r="G32" s="24"/>
    </row>
    <row r="33" spans="1:7" ht="98.45" customHeight="1">
      <c r="A33" s="367"/>
      <c r="B33" s="380"/>
      <c r="C33" s="374"/>
      <c r="D33" s="377"/>
      <c r="E33" s="365"/>
      <c r="F33" s="280" t="s">
        <v>61</v>
      </c>
      <c r="G33" s="24"/>
    </row>
    <row r="34" spans="1:7" ht="89.1" customHeight="1">
      <c r="A34" s="367"/>
      <c r="B34" s="380"/>
      <c r="C34" s="374"/>
      <c r="D34" s="377"/>
      <c r="E34" s="365"/>
      <c r="F34" s="280" t="s">
        <v>63</v>
      </c>
      <c r="G34" s="24"/>
    </row>
    <row r="35" spans="1:7" ht="29.1" customHeight="1">
      <c r="A35" s="367"/>
      <c r="B35" s="380"/>
      <c r="C35" s="374"/>
      <c r="D35" s="377"/>
      <c r="E35" s="365"/>
      <c r="F35" s="280" t="s">
        <v>64</v>
      </c>
      <c r="G35" s="24"/>
    </row>
    <row r="36" spans="1:7" ht="147">
      <c r="A36" s="367"/>
      <c r="B36" s="381"/>
      <c r="C36" s="375"/>
      <c r="D36" s="378"/>
      <c r="E36" s="366"/>
      <c r="F36" s="282" t="s">
        <v>65</v>
      </c>
      <c r="G36" s="24"/>
    </row>
    <row r="37" spans="1:7" ht="157.5">
      <c r="A37" s="367"/>
      <c r="B37" s="281">
        <v>3.01</v>
      </c>
      <c r="C37" s="283" t="s">
        <v>66</v>
      </c>
      <c r="D37" s="277" t="s">
        <v>2155</v>
      </c>
      <c r="E37" s="284" t="s">
        <v>1282</v>
      </c>
      <c r="F37" s="285" t="s">
        <v>1384</v>
      </c>
      <c r="G37" s="24"/>
    </row>
    <row r="38" spans="1:7" ht="146.25">
      <c r="A38" s="367"/>
      <c r="B38" s="281">
        <v>3.02</v>
      </c>
      <c r="C38" s="283" t="s">
        <v>1314</v>
      </c>
      <c r="D38" s="277" t="s">
        <v>2156</v>
      </c>
      <c r="E38" s="284" t="s">
        <v>1329</v>
      </c>
      <c r="F38" s="285" t="s">
        <v>1385</v>
      </c>
      <c r="G38" s="24"/>
    </row>
    <row r="39" spans="1:7" ht="112.5">
      <c r="A39" s="367"/>
      <c r="B39" s="286">
        <v>4</v>
      </c>
      <c r="C39" s="287" t="s">
        <v>1480</v>
      </c>
      <c r="D39" s="277" t="s">
        <v>2157</v>
      </c>
      <c r="E39" s="276" t="s">
        <v>2104</v>
      </c>
      <c r="F39" s="276" t="s">
        <v>1481</v>
      </c>
      <c r="G39" s="24"/>
    </row>
    <row r="40" spans="1:7" ht="67.5">
      <c r="A40" s="367"/>
      <c r="B40" s="281">
        <v>4.01</v>
      </c>
      <c r="C40" s="287" t="s">
        <v>1480</v>
      </c>
      <c r="D40" s="277" t="s">
        <v>2159</v>
      </c>
      <c r="E40" s="276" t="s">
        <v>2116</v>
      </c>
      <c r="F40" s="276" t="s">
        <v>2120</v>
      </c>
      <c r="G40" s="24"/>
    </row>
    <row r="41" spans="1:7" ht="67.5">
      <c r="A41" s="367"/>
      <c r="B41" s="281" t="s">
        <v>2146</v>
      </c>
      <c r="C41" s="287" t="s">
        <v>1480</v>
      </c>
      <c r="D41" s="277" t="s">
        <v>2158</v>
      </c>
      <c r="E41" s="276" t="s">
        <v>2149</v>
      </c>
      <c r="F41" s="276" t="s">
        <v>2147</v>
      </c>
      <c r="G41" s="24"/>
    </row>
    <row r="42" spans="1:7" ht="67.5">
      <c r="A42" s="367"/>
      <c r="B42" s="281" t="s">
        <v>2173</v>
      </c>
      <c r="C42" s="287" t="s">
        <v>1480</v>
      </c>
      <c r="D42" s="277" t="s">
        <v>2178</v>
      </c>
      <c r="E42" s="276" t="s">
        <v>2148</v>
      </c>
      <c r="F42" s="276" t="s">
        <v>2174</v>
      </c>
      <c r="G42" s="24"/>
    </row>
    <row r="43" spans="1:7" ht="191.25">
      <c r="A43" s="367"/>
      <c r="B43" s="288">
        <v>4.0999999999999996</v>
      </c>
      <c r="C43" s="287" t="s">
        <v>2177</v>
      </c>
      <c r="D43" s="289">
        <v>42867</v>
      </c>
      <c r="E43" s="290" t="s">
        <v>2180</v>
      </c>
      <c r="F43" s="276" t="s">
        <v>2179</v>
      </c>
      <c r="G43" s="24"/>
    </row>
    <row r="44" spans="1:7" ht="112.5">
      <c r="A44" s="367"/>
      <c r="B44" s="288">
        <v>4.2</v>
      </c>
      <c r="C44" s="287" t="s">
        <v>2177</v>
      </c>
      <c r="D44" s="289">
        <v>42704</v>
      </c>
      <c r="E44" s="290" t="s">
        <v>2369</v>
      </c>
      <c r="F44" s="276" t="s">
        <v>2344</v>
      </c>
      <c r="G44" s="24"/>
    </row>
    <row r="45" spans="1:7" ht="213.75">
      <c r="A45" s="367"/>
      <c r="B45" s="291">
        <v>5</v>
      </c>
      <c r="C45" s="287" t="s">
        <v>2177</v>
      </c>
      <c r="D45" s="289">
        <v>42867</v>
      </c>
      <c r="E45" s="290" t="s">
        <v>12256</v>
      </c>
      <c r="F45" s="276" t="s">
        <v>11978</v>
      </c>
      <c r="G45" s="24"/>
    </row>
    <row r="46" spans="1:7" ht="56.25">
      <c r="A46" s="367"/>
      <c r="B46" s="288">
        <v>5.01</v>
      </c>
      <c r="C46" s="287" t="s">
        <v>2177</v>
      </c>
      <c r="D46" s="289">
        <v>42907</v>
      </c>
      <c r="E46" s="290" t="s">
        <v>14886</v>
      </c>
      <c r="F46" s="276" t="s">
        <v>11978</v>
      </c>
      <c r="G46" s="24"/>
    </row>
    <row r="47" spans="1:7" ht="101.25">
      <c r="A47" s="367"/>
      <c r="B47" s="288">
        <v>5.0999999999999996</v>
      </c>
      <c r="C47" s="287" t="s">
        <v>2177</v>
      </c>
      <c r="D47" s="289">
        <v>43070</v>
      </c>
      <c r="E47" s="290" t="s">
        <v>12456</v>
      </c>
      <c r="F47" s="276" t="s">
        <v>12457</v>
      </c>
      <c r="G47" s="24"/>
    </row>
    <row r="48" spans="1:7" ht="90">
      <c r="A48" s="367"/>
      <c r="B48" s="288">
        <v>5.1100000000000003</v>
      </c>
      <c r="C48" s="287" t="s">
        <v>12684</v>
      </c>
      <c r="D48" s="289">
        <v>43217</v>
      </c>
      <c r="E48" s="290" t="s">
        <v>12786</v>
      </c>
      <c r="F48" s="276" t="s">
        <v>12711</v>
      </c>
      <c r="G48" s="24"/>
    </row>
    <row r="49" spans="1:7" ht="90">
      <c r="A49" s="367"/>
      <c r="B49" s="288">
        <v>5.12</v>
      </c>
      <c r="C49" s="287" t="s">
        <v>12684</v>
      </c>
      <c r="D49" s="289">
        <v>43581</v>
      </c>
      <c r="E49" s="290" t="s">
        <v>12786</v>
      </c>
      <c r="F49" s="276" t="s">
        <v>13315</v>
      </c>
      <c r="G49" s="24"/>
    </row>
    <row r="50" spans="1:7" ht="112.5">
      <c r="A50" s="367"/>
      <c r="B50" s="291">
        <v>6</v>
      </c>
      <c r="C50" s="287" t="s">
        <v>12684</v>
      </c>
      <c r="D50" s="289">
        <v>43964</v>
      </c>
      <c r="E50" s="290" t="s">
        <v>13527</v>
      </c>
      <c r="F50" s="276" t="s">
        <v>13318</v>
      </c>
      <c r="G50" s="24"/>
    </row>
    <row r="51" spans="1:7" ht="56.25">
      <c r="A51" s="367"/>
      <c r="B51" s="288">
        <v>6.01</v>
      </c>
      <c r="C51" s="287" t="s">
        <v>12684</v>
      </c>
      <c r="D51" s="289">
        <v>43970</v>
      </c>
      <c r="E51" s="290" t="s">
        <v>14887</v>
      </c>
      <c r="F51" s="290" t="s">
        <v>13318</v>
      </c>
      <c r="G51" s="24"/>
    </row>
    <row r="52" spans="1:7" ht="56.25">
      <c r="A52" s="367"/>
      <c r="B52" s="288">
        <v>6.1</v>
      </c>
      <c r="C52" s="287" t="s">
        <v>12684</v>
      </c>
      <c r="D52" s="289">
        <v>44314</v>
      </c>
      <c r="E52" s="290" t="s">
        <v>14880</v>
      </c>
      <c r="F52" s="290" t="s">
        <v>14487</v>
      </c>
      <c r="G52" s="24"/>
    </row>
    <row r="53" spans="1:7" ht="56.25">
      <c r="A53" s="367"/>
      <c r="B53" s="288">
        <v>6.2</v>
      </c>
      <c r="C53" s="287" t="s">
        <v>12684</v>
      </c>
      <c r="D53" s="289">
        <v>44678</v>
      </c>
      <c r="E53" s="290" t="s">
        <v>14880</v>
      </c>
      <c r="F53" s="290" t="s">
        <v>14879</v>
      </c>
      <c r="G53" s="24"/>
    </row>
    <row r="54" spans="1:7" ht="56.25">
      <c r="A54" s="367"/>
      <c r="B54" s="288">
        <v>6.21</v>
      </c>
      <c r="C54" s="287" t="s">
        <v>12684</v>
      </c>
      <c r="D54" s="289">
        <v>44687</v>
      </c>
      <c r="E54" s="290" t="s">
        <v>14888</v>
      </c>
      <c r="F54" s="290" t="s">
        <v>14879</v>
      </c>
      <c r="G54" s="24"/>
    </row>
    <row r="55" spans="1:7" ht="56.25">
      <c r="A55" s="367"/>
      <c r="B55" s="288">
        <v>6.22</v>
      </c>
      <c r="C55" s="287" t="s">
        <v>12684</v>
      </c>
      <c r="D55" s="292">
        <v>44692</v>
      </c>
      <c r="E55" s="290" t="s">
        <v>14887</v>
      </c>
      <c r="F55" s="290" t="s">
        <v>14879</v>
      </c>
      <c r="G55" s="24"/>
    </row>
    <row r="56" spans="1:7" ht="90">
      <c r="A56" s="367"/>
      <c r="B56" s="291">
        <v>6.3</v>
      </c>
      <c r="C56" s="287" t="s">
        <v>12684</v>
      </c>
      <c r="D56" s="292">
        <v>45051</v>
      </c>
      <c r="E56" s="290" t="s">
        <v>15144</v>
      </c>
      <c r="F56" s="290" t="s">
        <v>14925</v>
      </c>
      <c r="G56" s="24"/>
    </row>
    <row r="57" spans="1:7" ht="56.25">
      <c r="A57" s="367"/>
      <c r="B57" s="288">
        <v>6.31</v>
      </c>
      <c r="C57" s="287" t="s">
        <v>12684</v>
      </c>
      <c r="D57" s="292">
        <v>45072</v>
      </c>
      <c r="E57" s="290" t="s">
        <v>15146</v>
      </c>
      <c r="F57" s="290" t="s">
        <v>14925</v>
      </c>
      <c r="G57" s="24"/>
    </row>
    <row r="58" spans="1:7" ht="56.25">
      <c r="A58" s="367"/>
      <c r="B58" s="291">
        <v>6.4</v>
      </c>
      <c r="C58" s="287" t="s">
        <v>12684</v>
      </c>
      <c r="D58" s="292">
        <v>45408</v>
      </c>
      <c r="E58" s="290" t="s">
        <v>15148</v>
      </c>
      <c r="F58" s="290" t="s">
        <v>15147</v>
      </c>
      <c r="G58" s="24"/>
    </row>
    <row r="59" spans="1:7" ht="56.25">
      <c r="A59" s="367"/>
      <c r="B59" s="291">
        <v>6.5</v>
      </c>
      <c r="C59" s="287" t="s">
        <v>12684</v>
      </c>
      <c r="D59" s="292">
        <v>45772</v>
      </c>
      <c r="E59" s="290" t="s">
        <v>15217</v>
      </c>
      <c r="F59" s="290" t="s">
        <v>15259</v>
      </c>
      <c r="G59" s="24"/>
    </row>
    <row r="60" spans="1:7" ht="90">
      <c r="A60" s="367"/>
      <c r="B60" s="291">
        <v>6.6</v>
      </c>
      <c r="C60" s="287" t="s">
        <v>12684</v>
      </c>
      <c r="D60" s="292">
        <v>46129</v>
      </c>
      <c r="E60" s="290" t="s">
        <v>15870</v>
      </c>
      <c r="F60" s="293" t="s">
        <v>15352</v>
      </c>
      <c r="G60" s="24"/>
    </row>
    <row r="61" spans="1:7" ht="13.5" thickBot="1">
      <c r="A61" s="368"/>
      <c r="B61" s="369" t="str">
        <f ca="1">OFFSET(L!$C$1,MATCH("General"&amp;"Cpy",L!$A:$A,0)-1,SL,,)</f>
        <v>© 2026 Responsible Minerals Initiative. All rights reserved.</v>
      </c>
      <c r="C61" s="369"/>
      <c r="D61" s="369"/>
      <c r="E61" s="369"/>
      <c r="F61" s="36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8CD508F-FCFB-432B-87F7-FF53BEABF6D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C163E7A-BA76-46B3-A29D-4D7345AB16E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480</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Go to Product List tab to enter products this declaration applies to</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Click here to enter the products this declaration applies to</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v>807764691</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15880</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15881</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15882</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15883</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t="s">
        <v>15884</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15885</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15886</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15887</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t="s">
        <v>15884</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46141</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297" t="s">
        <v>474</v>
      </c>
      <c r="E27" s="298"/>
      <c r="F27" s="11"/>
      <c r="G27" s="299"/>
      <c r="H27" s="300"/>
      <c r="I27" s="300"/>
      <c r="J27" s="301"/>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297"/>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297"/>
      <c r="E39" s="298"/>
      <c r="F39" s="44"/>
      <c r="G39" s="299"/>
      <c r="H39" s="300"/>
      <c r="I39" s="300"/>
      <c r="J39" s="301"/>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297"/>
      <c r="E45" s="298"/>
      <c r="F45" s="44"/>
      <c r="G45" s="299"/>
      <c r="H45" s="300"/>
      <c r="I45" s="300"/>
      <c r="J45" s="301"/>
      <c r="K45" s="33"/>
      <c r="L45" s="108"/>
      <c r="P45" s="42" t="str">
        <f>IF((OR(D$27="No",D$33="No")),"","(*)")</f>
        <v/>
      </c>
      <c r="Q45" s="2"/>
      <c r="R45" s="2"/>
      <c r="S45" s="2"/>
      <c r="T45" s="2"/>
      <c r="U45" s="2"/>
      <c r="V45" s="2"/>
      <c r="W45" s="2"/>
      <c r="X45" s="2"/>
      <c r="Y45" s="2"/>
      <c r="Z45" s="2"/>
      <c r="AA45" s="2"/>
      <c r="AB45" s="2"/>
      <c r="AC45" s="2"/>
      <c r="AD45" s="2"/>
      <c r="AE45" s="2"/>
      <c r="AF45" s="2"/>
      <c r="AG45" s="2"/>
      <c r="AH45" s="2"/>
    </row>
    <row r="46" spans="1:34" ht="76.5" customHeight="1">
      <c r="A46" s="38"/>
      <c r="B46" s="37" t="str">
        <f ca="1">OFFSET(L!$C$1,MATCH("Declaration"&amp;ADDRESS(ROW(),COLUMN(),4),L!$A:$A,0)-1,SL,,)&amp;P46</f>
        <v>Gold  (*)</v>
      </c>
      <c r="C46" s="9"/>
      <c r="D46" s="297" t="s">
        <v>473</v>
      </c>
      <c r="E46" s="298"/>
      <c r="F46" s="44"/>
      <c r="G46" s="299" t="s">
        <v>15888</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297"/>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473</v>
      </c>
      <c r="E52" s="298"/>
      <c r="F52" s="44"/>
      <c r="G52" s="299" t="s">
        <v>15889</v>
      </c>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18"/>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15890</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297"/>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t="s">
        <v>15889</v>
      </c>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297"/>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15891</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Yes</v>
      </c>
    </row>
    <row r="101" spans="2:7" ht="15.75" hidden="1">
      <c r="B101" s="219" t="s">
        <v>2371</v>
      </c>
      <c r="D101" s="264" t="str">
        <f>IF(AND(OR($D$27="Yes",$D$27=""),OR($D$33="Yes",$D$33="")),"Unknown","")</f>
        <v/>
      </c>
      <c r="E101" s="264" t="str">
        <f>IF(AND(OR($D$26="Yes",$D$26=""),OR($D$32="Yes",$D$32="")),"None","")</f>
        <v/>
      </c>
      <c r="G101" s="264" t="str">
        <f>IF(OR($D$28="Yes",$D$28=""),"No","")</f>
        <v>No</v>
      </c>
    </row>
    <row r="102" spans="2:7" ht="15.75" hidden="1">
      <c r="B102" s="219" t="s">
        <v>2372</v>
      </c>
      <c r="D102" s="264" t="str">
        <f>IF(AND(OR($D$28="Yes",$D$28=""),OR($D$34="Yes",$D$34="")),"Yes","")</f>
        <v>Yes</v>
      </c>
      <c r="E102" s="264" t="str">
        <f>IF(AND(OR($D$27="Yes",$D$27=""),OR($D$33="Yes",$D$33="")),"100%","")</f>
        <v/>
      </c>
      <c r="G102" s="264" t="str">
        <f>IF(OR($D$29="Yes",$D$29=""),"Yes","")</f>
        <v/>
      </c>
    </row>
    <row r="103" spans="2:7" ht="15.75" hidden="1">
      <c r="B103" s="219" t="s">
        <v>2373</v>
      </c>
      <c r="D103" s="264" t="str">
        <f>IF(AND(OR($D$28="Yes",$D$28=""),OR($D$34="Yes",$D$34="")),"No","")</f>
        <v>No</v>
      </c>
      <c r="E103" s="264" t="str">
        <f>IF(AND(OR($D$27="Yes",$D$27=""),OR($D$33="Yes",$D$33="")),"Greater than 90%","")</f>
        <v/>
      </c>
      <c r="G103" s="264" t="str">
        <f>IF(OR($D$29="Yes",$D$29=""),"No","")</f>
        <v/>
      </c>
    </row>
    <row r="104" spans="2:7" ht="15.75" hidden="1">
      <c r="B104" s="219" t="s">
        <v>476</v>
      </c>
      <c r="D104" s="264" t="str">
        <f>IF(AND(OR($D$28="Yes",$D$28=""),OR($D$34="Yes",$D$34="")),"Unknown","")</f>
        <v>Unknown</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AB976309-ECC9-4971-82B5-3F41F21E485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E1" zoomScaleNormal="100" zoomScalePageLayoutView="55" workbookViewId="0">
      <selection activeCell="L5" sqref="L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15892</v>
      </c>
      <c r="B5" s="166" t="str">
        <f ca="1">IF(LEN(A5)=0,"",INDEX('Smelter Look-up'!$A:$A,MATCH($A5,'Smelter Look-up'!$E:$E,0)))</f>
        <v>Gold</v>
      </c>
      <c r="C5" s="170" t="str">
        <f ca="1">IF(LEN(A5)=0,"",INDEX('Smelter Look-up'!$C:$C,MATCH($A5,'Smelter Look-up'!$E:$E,0)))</f>
        <v>Metalor USA Refining Corporation</v>
      </c>
      <c r="D5" s="213"/>
      <c r="E5" s="166" t="str">
        <f ca="1">IF(ISERROR($V5),"",OFFSET('Smelter Look-up'!$D$4,$V5-4,0)&amp;"")</f>
        <v>UNITED STATES OF AMERICA</v>
      </c>
      <c r="F5" s="166" t="str">
        <f ca="1">IF(ISERROR($V5),"",OFFSET('Smelter Look-up'!$E$4,$V5-4,0))</f>
        <v>CID001157</v>
      </c>
      <c r="G5" s="166" t="str">
        <f ca="1">IF(C5=$X$4,IF(ISERROR($V5),"Enter smelter details","RMI"),IF(ISERROR($V5),"",OFFSET('Smelter Look-up'!$F$4,$V5-4,0)))</f>
        <v>RMI</v>
      </c>
      <c r="H5" s="167" t="s">
        <v>15893</v>
      </c>
      <c r="I5" s="168" t="str">
        <f ca="1">IF(ISERROR($V5),"",OFFSET('Smelter Look-up'!$H$4,$V5-4,0))</f>
        <v>North Attleboro</v>
      </c>
      <c r="J5" s="168" t="str">
        <f ca="1">IF(ISERROR($V5),"",OFFSET('Smelter Look-up'!$I$4,$V5-4,0))</f>
        <v>Massachusetts</v>
      </c>
      <c r="K5" s="207" t="s">
        <v>15894</v>
      </c>
      <c r="L5" s="207" t="s">
        <v>15896</v>
      </c>
      <c r="M5" s="207" t="s">
        <v>476</v>
      </c>
      <c r="N5" s="207" t="s">
        <v>15895</v>
      </c>
      <c r="O5" s="207" t="s">
        <v>15895</v>
      </c>
      <c r="P5" s="169" t="s">
        <v>474</v>
      </c>
      <c r="Q5" s="208"/>
      <c r="R5" s="166" t="str">
        <f ca="1">IF(ISERROR($V5),"",OFFSET('Smelter Look-up'!$C$4,$V5-4,0)&amp;"")</f>
        <v>Metalor USA Refining Corporation</v>
      </c>
      <c r="S5" s="165" t="str">
        <f ca="1">IF(B5="","",IF(ISERROR(MATCH($E5,CL,0)),"Unknown",INDIRECT("'C'!$A$"&amp;MATCH($E5,CL,0)+1)))</f>
        <v>US</v>
      </c>
      <c r="T5" s="165" t="str">
        <f ca="1">IF(B5="","",IF(ISERROR(MATCH($J5,SorP!$B$1:$B$6261,0)),"",INDIRECT("'SorP'!$A$"&amp;MATCH($S5&amp;$J5,SorP!C:C,0))))</f>
        <v>US-MA</v>
      </c>
      <c r="U5" s="185"/>
      <c r="V5" s="209">
        <f ca="1">IF(C5="",NA(),IF(OR(C5="Smelter not listed",C5="Smelter not yet identified"),MATCH($B5&amp;$D5,'Smelter Look-up'!$J:$J,0),MATCH($B5&amp;$C5,'Smelter Look-up'!$J:$J,0)))</f>
        <v>197</v>
      </c>
      <c r="X5" s="210">
        <f t="shared" ref="X5" ca="1" si="0">IF(AND(C5="Smelter not listed",OR(LEN(D5)=0,LEN(E5)=0)),1,0)</f>
        <v>0</v>
      </c>
      <c r="AB5" s="211" t="str">
        <f t="shared" ref="AB5" ca="1" si="1">B5&amp;C5</f>
        <v>GoldMetalor USA Refining Corporation</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C65B2D7-B499-444B-953A-EE3FE615AA0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Uyemura International Corporation</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David Liston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dliston@uyemura.com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860-793-4011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Donald Gudeczauskas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dgudeczauskas@uyemura.com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46141</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Yes</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https://www.uyemura.com/CM-policy.html</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0</v>
      </c>
      <c r="G66" s="67">
        <f ca="1">IF(AND(COUNTIF(SmelterIdetifiedForMetal,"Tin")&gt;0,COUNTIF('Smelter List'!AB$5:AB$2504,"Tin?*")&gt;0),0,1)</f>
        <v>1</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t="s">
        <v>15897</v>
      </c>
      <c r="C6" s="95" t="s">
        <v>15898</v>
      </c>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Bonatsos</cp:lastModifiedBy>
  <cp:lastPrinted>2015-04-21T20:47:43Z</cp:lastPrinted>
  <dcterms:created xsi:type="dcterms:W3CDTF">2010-06-21T21:00:23Z</dcterms:created>
  <dcterms:modified xsi:type="dcterms:W3CDTF">2026-06-08T12:05:12Z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